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dmin\Documents\ASÜS LANZ\Lohn FRINO\Lohnprogramm 2023\FRINO PRO 2023A\FRINO PRO 2023A-DE\"/>
    </mc:Choice>
  </mc:AlternateContent>
  <xr:revisionPtr revIDLastSave="0" documentId="13_ncr:1_{298DEA3B-42D3-4AE7-BAE3-DEB9B73DD79F}" xr6:coauthVersionLast="47" xr6:coauthVersionMax="47" xr10:uidLastSave="{00000000-0000-0000-0000-000000000000}"/>
  <bookViews>
    <workbookView xWindow="-120" yWindow="-120" windowWidth="29040" windowHeight="15840" tabRatio="723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9" i="14" l="1"/>
  <c r="R58" i="14"/>
  <c r="Q58" i="14"/>
  <c r="R57" i="14"/>
  <c r="Q57" i="14"/>
  <c r="R56" i="14"/>
  <c r="Q56" i="14"/>
  <c r="R55" i="14"/>
  <c r="Q55" i="14"/>
  <c r="Q59" i="11"/>
  <c r="R58" i="11"/>
  <c r="Q58" i="11"/>
  <c r="R57" i="11"/>
  <c r="Q57" i="11"/>
  <c r="R56" i="11"/>
  <c r="Q56" i="11"/>
  <c r="R55" i="11"/>
  <c r="Q55" i="11"/>
  <c r="S49" i="14"/>
  <c r="Q49" i="14"/>
  <c r="S48" i="14"/>
  <c r="S59" i="14" s="1"/>
  <c r="Q48" i="14"/>
  <c r="S47" i="14"/>
  <c r="S58" i="14" s="1"/>
  <c r="R47" i="14"/>
  <c r="Q47" i="14"/>
  <c r="S46" i="14"/>
  <c r="S57" i="14" s="1"/>
  <c r="R46" i="14"/>
  <c r="Q46" i="14"/>
  <c r="S45" i="14"/>
  <c r="S56" i="14" s="1"/>
  <c r="R45" i="14"/>
  <c r="Q45" i="14"/>
  <c r="S44" i="14"/>
  <c r="S55" i="14" s="1"/>
  <c r="R44" i="14"/>
  <c r="Q44" i="14"/>
  <c r="S49" i="11"/>
  <c r="Q49" i="11"/>
  <c r="S48" i="11"/>
  <c r="S59" i="11" s="1"/>
  <c r="Q48" i="11"/>
  <c r="S47" i="11"/>
  <c r="S58" i="11" s="1"/>
  <c r="R47" i="11"/>
  <c r="Q47" i="11"/>
  <c r="S46" i="11"/>
  <c r="S57" i="11" s="1"/>
  <c r="R46" i="11"/>
  <c r="Q46" i="11"/>
  <c r="S45" i="11"/>
  <c r="S56" i="11" s="1"/>
  <c r="R45" i="11"/>
  <c r="Q45" i="11"/>
  <c r="S44" i="11"/>
  <c r="S55" i="11" s="1"/>
  <c r="R44" i="11"/>
  <c r="Q44" i="11"/>
  <c r="A123" i="14" l="1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A16" i="19" l="1"/>
  <c r="L50" i="8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A68" i="7" l="1"/>
  <c r="C68" i="7"/>
  <c r="D68" i="7"/>
  <c r="E68" i="7"/>
  <c r="A69" i="7"/>
  <c r="C69" i="7"/>
  <c r="D69" i="7"/>
  <c r="E69" i="7"/>
  <c r="A70" i="7"/>
  <c r="C70" i="7"/>
  <c r="D70" i="7"/>
  <c r="E70" i="7"/>
  <c r="A71" i="7"/>
  <c r="C71" i="7"/>
  <c r="D71" i="7"/>
  <c r="E71" i="7"/>
  <c r="A72" i="7"/>
  <c r="C72" i="7"/>
  <c r="D72" i="7"/>
  <c r="E72" i="7"/>
  <c r="A73" i="7"/>
  <c r="C73" i="7"/>
  <c r="D73" i="7"/>
  <c r="E73" i="7"/>
  <c r="A74" i="7"/>
  <c r="C74" i="7"/>
  <c r="D74" i="7"/>
  <c r="E74" i="7"/>
  <c r="A75" i="7"/>
  <c r="C75" i="7"/>
  <c r="D75" i="7"/>
  <c r="E75" i="7"/>
  <c r="A76" i="7"/>
  <c r="C76" i="7"/>
  <c r="D76" i="7"/>
  <c r="E76" i="7"/>
  <c r="A77" i="7"/>
  <c r="C77" i="7"/>
  <c r="D77" i="7"/>
  <c r="E77" i="7"/>
  <c r="A78" i="7"/>
  <c r="C78" i="7"/>
  <c r="D78" i="7"/>
  <c r="E78" i="7"/>
  <c r="A79" i="7"/>
  <c r="C79" i="7"/>
  <c r="D79" i="7"/>
  <c r="E79" i="7"/>
  <c r="A80" i="7"/>
  <c r="C80" i="7"/>
  <c r="D80" i="7"/>
  <c r="E80" i="7"/>
  <c r="A81" i="7"/>
  <c r="C81" i="7"/>
  <c r="D81" i="7"/>
  <c r="E81" i="7"/>
  <c r="A82" i="7"/>
  <c r="C82" i="7"/>
  <c r="D82" i="7"/>
  <c r="E82" i="7"/>
  <c r="A83" i="7"/>
  <c r="C83" i="7"/>
  <c r="D83" i="7"/>
  <c r="E83" i="7"/>
  <c r="A84" i="7"/>
  <c r="C84" i="7"/>
  <c r="D84" i="7"/>
  <c r="E84" i="7"/>
  <c r="A85" i="7"/>
  <c r="C85" i="7"/>
  <c r="D85" i="7"/>
  <c r="E85" i="7"/>
  <c r="A86" i="7"/>
  <c r="C86" i="7"/>
  <c r="D86" i="7"/>
  <c r="A87" i="7"/>
  <c r="C87" i="7"/>
  <c r="D87" i="7"/>
  <c r="E87" i="7"/>
  <c r="A88" i="7"/>
  <c r="C88" i="7"/>
  <c r="D88" i="7"/>
  <c r="E88" i="7"/>
  <c r="A89" i="7"/>
  <c r="C89" i="7"/>
  <c r="D89" i="7"/>
  <c r="E89" i="7"/>
  <c r="A90" i="7"/>
  <c r="C90" i="7"/>
  <c r="D90" i="7"/>
  <c r="E90" i="7"/>
  <c r="A91" i="7"/>
  <c r="C91" i="7"/>
  <c r="D91" i="7"/>
  <c r="E91" i="7"/>
  <c r="A92" i="7"/>
  <c r="C92" i="7"/>
  <c r="D92" i="7"/>
  <c r="E92" i="7"/>
  <c r="A93" i="7"/>
  <c r="C93" i="7"/>
  <c r="D93" i="7"/>
  <c r="E93" i="7"/>
  <c r="A94" i="7"/>
  <c r="C94" i="7"/>
  <c r="D94" i="7"/>
  <c r="E94" i="7"/>
  <c r="A95" i="7"/>
  <c r="C95" i="7"/>
  <c r="D95" i="7"/>
  <c r="E95" i="7"/>
  <c r="A96" i="7"/>
  <c r="C96" i="7"/>
  <c r="D96" i="7"/>
  <c r="E96" i="7"/>
  <c r="A97" i="7"/>
  <c r="C97" i="7"/>
  <c r="D97" i="7"/>
  <c r="E97" i="7"/>
  <c r="A98" i="7"/>
  <c r="C98" i="7"/>
  <c r="D98" i="7"/>
  <c r="E98" i="7"/>
  <c r="A99" i="7"/>
  <c r="C99" i="7"/>
  <c r="D99" i="7"/>
  <c r="E99" i="7"/>
  <c r="A100" i="7"/>
  <c r="C100" i="7"/>
  <c r="D100" i="7"/>
  <c r="E100" i="7"/>
  <c r="A101" i="7"/>
  <c r="C101" i="7"/>
  <c r="D101" i="7"/>
  <c r="E101" i="7"/>
  <c r="A102" i="7"/>
  <c r="C102" i="7"/>
  <c r="D102" i="7"/>
  <c r="E102" i="7"/>
  <c r="A103" i="7"/>
  <c r="C103" i="7"/>
  <c r="D103" i="7"/>
  <c r="E103" i="7"/>
  <c r="A104" i="7"/>
  <c r="C104" i="7"/>
  <c r="D104" i="7"/>
  <c r="E104" i="7"/>
  <c r="A105" i="7"/>
  <c r="C105" i="7"/>
  <c r="D105" i="7"/>
  <c r="E105" i="7"/>
  <c r="A106" i="7"/>
  <c r="C106" i="7"/>
  <c r="D106" i="7"/>
  <c r="E106" i="7"/>
  <c r="A107" i="7"/>
  <c r="C107" i="7"/>
  <c r="D107" i="7"/>
  <c r="E107" i="7"/>
  <c r="A108" i="7"/>
  <c r="C108" i="7"/>
  <c r="D108" i="7"/>
  <c r="E108" i="7"/>
  <c r="A109" i="7"/>
  <c r="C109" i="7"/>
  <c r="D109" i="7"/>
  <c r="E109" i="7"/>
  <c r="A110" i="7"/>
  <c r="C110" i="7"/>
  <c r="D110" i="7"/>
  <c r="E110" i="7"/>
  <c r="A111" i="7"/>
  <c r="C111" i="7"/>
  <c r="D111" i="7"/>
  <c r="E111" i="7"/>
  <c r="A112" i="7"/>
  <c r="C112" i="7"/>
  <c r="D112" i="7"/>
  <c r="E112" i="7"/>
  <c r="A113" i="7"/>
  <c r="C113" i="7"/>
  <c r="D113" i="7"/>
  <c r="E113" i="7"/>
  <c r="A114" i="7"/>
  <c r="C114" i="7"/>
  <c r="D114" i="7"/>
  <c r="E114" i="7"/>
  <c r="A115" i="7"/>
  <c r="C115" i="7"/>
  <c r="D115" i="7"/>
  <c r="E115" i="7"/>
  <c r="A116" i="7"/>
  <c r="C116" i="7"/>
  <c r="D116" i="7"/>
  <c r="E116" i="7"/>
  <c r="A117" i="7"/>
  <c r="C117" i="7"/>
  <c r="D117" i="7"/>
  <c r="E117" i="7"/>
  <c r="A118" i="7"/>
  <c r="C118" i="7"/>
  <c r="D118" i="7"/>
  <c r="E118" i="7"/>
  <c r="A119" i="7"/>
  <c r="C119" i="7"/>
  <c r="D119" i="7"/>
  <c r="E119" i="7"/>
  <c r="A120" i="7"/>
  <c r="C120" i="7"/>
  <c r="D120" i="7"/>
  <c r="E120" i="7"/>
  <c r="A121" i="7"/>
  <c r="C121" i="7"/>
  <c r="D121" i="7"/>
  <c r="E121" i="7"/>
  <c r="A68" i="8"/>
  <c r="C68" i="8"/>
  <c r="D68" i="8"/>
  <c r="E68" i="8"/>
  <c r="A69" i="8"/>
  <c r="C69" i="8"/>
  <c r="D69" i="8"/>
  <c r="E69" i="8"/>
  <c r="A70" i="8"/>
  <c r="C70" i="8"/>
  <c r="D70" i="8"/>
  <c r="E70" i="8"/>
  <c r="A71" i="8"/>
  <c r="C71" i="8"/>
  <c r="D71" i="8"/>
  <c r="E71" i="8"/>
  <c r="A72" i="8"/>
  <c r="C72" i="8"/>
  <c r="D72" i="8"/>
  <c r="E72" i="8"/>
  <c r="A73" i="8"/>
  <c r="C73" i="8"/>
  <c r="D73" i="8"/>
  <c r="E73" i="8"/>
  <c r="A74" i="8"/>
  <c r="C74" i="8"/>
  <c r="D74" i="8"/>
  <c r="E74" i="8"/>
  <c r="A75" i="8"/>
  <c r="C75" i="8"/>
  <c r="D75" i="8"/>
  <c r="E75" i="8"/>
  <c r="A76" i="8"/>
  <c r="C76" i="8"/>
  <c r="D76" i="8"/>
  <c r="E76" i="8"/>
  <c r="A77" i="8"/>
  <c r="C77" i="8"/>
  <c r="D77" i="8"/>
  <c r="E77" i="8"/>
  <c r="A78" i="8"/>
  <c r="C78" i="8"/>
  <c r="D78" i="8"/>
  <c r="E78" i="8"/>
  <c r="A79" i="8"/>
  <c r="C79" i="8"/>
  <c r="D79" i="8"/>
  <c r="E79" i="8"/>
  <c r="A80" i="8"/>
  <c r="C80" i="8"/>
  <c r="D80" i="8"/>
  <c r="E80" i="8"/>
  <c r="A81" i="8"/>
  <c r="C81" i="8"/>
  <c r="D81" i="8"/>
  <c r="E81" i="8"/>
  <c r="A82" i="8"/>
  <c r="C82" i="8"/>
  <c r="D82" i="8"/>
  <c r="E82" i="8"/>
  <c r="A83" i="8"/>
  <c r="C83" i="8"/>
  <c r="D83" i="8"/>
  <c r="E83" i="8"/>
  <c r="A84" i="8"/>
  <c r="C84" i="8"/>
  <c r="D84" i="8"/>
  <c r="E84" i="8"/>
  <c r="A85" i="8"/>
  <c r="C85" i="8"/>
  <c r="D85" i="8"/>
  <c r="E85" i="8"/>
  <c r="A86" i="8"/>
  <c r="C86" i="8"/>
  <c r="D86" i="8"/>
  <c r="A87" i="8"/>
  <c r="C87" i="8"/>
  <c r="D87" i="8"/>
  <c r="E87" i="8"/>
  <c r="A88" i="8"/>
  <c r="C88" i="8"/>
  <c r="D88" i="8"/>
  <c r="E88" i="8"/>
  <c r="A89" i="8"/>
  <c r="C89" i="8"/>
  <c r="D89" i="8"/>
  <c r="E89" i="8"/>
  <c r="A90" i="8"/>
  <c r="C90" i="8"/>
  <c r="D90" i="8"/>
  <c r="E90" i="8"/>
  <c r="A91" i="8"/>
  <c r="C91" i="8"/>
  <c r="D91" i="8"/>
  <c r="E91" i="8"/>
  <c r="A92" i="8"/>
  <c r="C92" i="8"/>
  <c r="D92" i="8"/>
  <c r="E92" i="8"/>
  <c r="A93" i="8"/>
  <c r="C93" i="8"/>
  <c r="D93" i="8"/>
  <c r="E93" i="8"/>
  <c r="A94" i="8"/>
  <c r="C94" i="8"/>
  <c r="D94" i="8"/>
  <c r="E94" i="8"/>
  <c r="A95" i="8"/>
  <c r="C95" i="8"/>
  <c r="D95" i="8"/>
  <c r="E95" i="8"/>
  <c r="A96" i="8"/>
  <c r="C96" i="8"/>
  <c r="D96" i="8"/>
  <c r="E96" i="8"/>
  <c r="A97" i="8"/>
  <c r="C97" i="8"/>
  <c r="D97" i="8"/>
  <c r="E97" i="8"/>
  <c r="A98" i="8"/>
  <c r="C98" i="8"/>
  <c r="D98" i="8"/>
  <c r="E98" i="8"/>
  <c r="A99" i="8"/>
  <c r="C99" i="8"/>
  <c r="D99" i="8"/>
  <c r="E99" i="8"/>
  <c r="A100" i="8"/>
  <c r="C100" i="8"/>
  <c r="D100" i="8"/>
  <c r="E100" i="8"/>
  <c r="A101" i="8"/>
  <c r="C101" i="8"/>
  <c r="D101" i="8"/>
  <c r="E101" i="8"/>
  <c r="A102" i="8"/>
  <c r="C102" i="8"/>
  <c r="D102" i="8"/>
  <c r="E102" i="8"/>
  <c r="A103" i="8"/>
  <c r="C103" i="8"/>
  <c r="D103" i="8"/>
  <c r="E103" i="8"/>
  <c r="A104" i="8"/>
  <c r="C104" i="8"/>
  <c r="D104" i="8"/>
  <c r="E104" i="8"/>
  <c r="A105" i="8"/>
  <c r="C105" i="8"/>
  <c r="D105" i="8"/>
  <c r="E105" i="8"/>
  <c r="A106" i="8"/>
  <c r="C106" i="8"/>
  <c r="D106" i="8"/>
  <c r="E106" i="8"/>
  <c r="A107" i="8"/>
  <c r="C107" i="8"/>
  <c r="D107" i="8"/>
  <c r="E107" i="8"/>
  <c r="A108" i="8"/>
  <c r="C108" i="8"/>
  <c r="D108" i="8"/>
  <c r="E108" i="8"/>
  <c r="A109" i="8"/>
  <c r="C109" i="8"/>
  <c r="D109" i="8"/>
  <c r="E109" i="8"/>
  <c r="A110" i="8"/>
  <c r="C110" i="8"/>
  <c r="D110" i="8"/>
  <c r="E110" i="8"/>
  <c r="A111" i="8"/>
  <c r="C111" i="8"/>
  <c r="D111" i="8"/>
  <c r="E111" i="8"/>
  <c r="A112" i="8"/>
  <c r="C112" i="8"/>
  <c r="D112" i="8"/>
  <c r="E112" i="8"/>
  <c r="A113" i="8"/>
  <c r="C113" i="8"/>
  <c r="D113" i="8"/>
  <c r="E113" i="8"/>
  <c r="A114" i="8"/>
  <c r="C114" i="8"/>
  <c r="D114" i="8"/>
  <c r="E114" i="8"/>
  <c r="A115" i="8"/>
  <c r="C115" i="8"/>
  <c r="D115" i="8"/>
  <c r="E115" i="8"/>
  <c r="A116" i="8"/>
  <c r="C116" i="8"/>
  <c r="D116" i="8"/>
  <c r="E116" i="8"/>
  <c r="A117" i="8"/>
  <c r="C117" i="8"/>
  <c r="D117" i="8"/>
  <c r="E117" i="8"/>
  <c r="A118" i="8"/>
  <c r="C118" i="8"/>
  <c r="D118" i="8"/>
  <c r="E118" i="8"/>
  <c r="A119" i="8"/>
  <c r="C119" i="8"/>
  <c r="D119" i="8"/>
  <c r="E119" i="8"/>
  <c r="A120" i="8"/>
  <c r="C120" i="8"/>
  <c r="D120" i="8"/>
  <c r="E120" i="8"/>
  <c r="A121" i="8"/>
  <c r="C121" i="8"/>
  <c r="D121" i="8"/>
  <c r="E121" i="8"/>
  <c r="A68" i="9"/>
  <c r="C68" i="9"/>
  <c r="D68" i="9"/>
  <c r="E68" i="9"/>
  <c r="A69" i="9"/>
  <c r="C69" i="9"/>
  <c r="D69" i="9"/>
  <c r="E69" i="9"/>
  <c r="A70" i="9"/>
  <c r="C70" i="9"/>
  <c r="D70" i="9"/>
  <c r="E70" i="9"/>
  <c r="A71" i="9"/>
  <c r="C71" i="9"/>
  <c r="D71" i="9"/>
  <c r="E71" i="9"/>
  <c r="A72" i="9"/>
  <c r="C72" i="9"/>
  <c r="D72" i="9"/>
  <c r="E72" i="9"/>
  <c r="A73" i="9"/>
  <c r="C73" i="9"/>
  <c r="D73" i="9"/>
  <c r="E73" i="9"/>
  <c r="A74" i="9"/>
  <c r="C74" i="9"/>
  <c r="D74" i="9"/>
  <c r="E74" i="9"/>
  <c r="A75" i="9"/>
  <c r="C75" i="9"/>
  <c r="D75" i="9"/>
  <c r="E75" i="9"/>
  <c r="A76" i="9"/>
  <c r="C76" i="9"/>
  <c r="D76" i="9"/>
  <c r="E76" i="9"/>
  <c r="A77" i="9"/>
  <c r="C77" i="9"/>
  <c r="D77" i="9"/>
  <c r="E77" i="9"/>
  <c r="A78" i="9"/>
  <c r="C78" i="9"/>
  <c r="D78" i="9"/>
  <c r="E78" i="9"/>
  <c r="A79" i="9"/>
  <c r="C79" i="9"/>
  <c r="D79" i="9"/>
  <c r="E79" i="9"/>
  <c r="A80" i="9"/>
  <c r="C80" i="9"/>
  <c r="D80" i="9"/>
  <c r="E80" i="9"/>
  <c r="A81" i="9"/>
  <c r="C81" i="9"/>
  <c r="D81" i="9"/>
  <c r="E81" i="9"/>
  <c r="A82" i="9"/>
  <c r="C82" i="9"/>
  <c r="D82" i="9"/>
  <c r="E82" i="9"/>
  <c r="A83" i="9"/>
  <c r="C83" i="9"/>
  <c r="D83" i="9"/>
  <c r="E83" i="9"/>
  <c r="A84" i="9"/>
  <c r="C84" i="9"/>
  <c r="D84" i="9"/>
  <c r="E84" i="9"/>
  <c r="A85" i="9"/>
  <c r="C85" i="9"/>
  <c r="D85" i="9"/>
  <c r="E85" i="9"/>
  <c r="A86" i="9"/>
  <c r="C86" i="9"/>
  <c r="D86" i="9"/>
  <c r="A87" i="9"/>
  <c r="C87" i="9"/>
  <c r="D87" i="9"/>
  <c r="E87" i="9"/>
  <c r="A88" i="9"/>
  <c r="C88" i="9"/>
  <c r="D88" i="9"/>
  <c r="E88" i="9"/>
  <c r="A89" i="9"/>
  <c r="C89" i="9"/>
  <c r="D89" i="9"/>
  <c r="E89" i="9"/>
  <c r="A90" i="9"/>
  <c r="C90" i="9"/>
  <c r="D90" i="9"/>
  <c r="E90" i="9"/>
  <c r="A91" i="9"/>
  <c r="C91" i="9"/>
  <c r="D91" i="9"/>
  <c r="E91" i="9"/>
  <c r="A92" i="9"/>
  <c r="C92" i="9"/>
  <c r="D92" i="9"/>
  <c r="E92" i="9"/>
  <c r="A93" i="9"/>
  <c r="C93" i="9"/>
  <c r="D93" i="9"/>
  <c r="E93" i="9"/>
  <c r="A94" i="9"/>
  <c r="C94" i="9"/>
  <c r="D94" i="9"/>
  <c r="E94" i="9"/>
  <c r="A95" i="9"/>
  <c r="C95" i="9"/>
  <c r="D95" i="9"/>
  <c r="E95" i="9"/>
  <c r="A96" i="9"/>
  <c r="C96" i="9"/>
  <c r="D96" i="9"/>
  <c r="E96" i="9"/>
  <c r="A97" i="9"/>
  <c r="C97" i="9"/>
  <c r="D97" i="9"/>
  <c r="E97" i="9"/>
  <c r="A98" i="9"/>
  <c r="C98" i="9"/>
  <c r="D98" i="9"/>
  <c r="E98" i="9"/>
  <c r="A99" i="9"/>
  <c r="C99" i="9"/>
  <c r="D99" i="9"/>
  <c r="E99" i="9"/>
  <c r="A100" i="9"/>
  <c r="C100" i="9"/>
  <c r="D100" i="9"/>
  <c r="E100" i="9"/>
  <c r="A101" i="9"/>
  <c r="C101" i="9"/>
  <c r="D101" i="9"/>
  <c r="E101" i="9"/>
  <c r="A102" i="9"/>
  <c r="C102" i="9"/>
  <c r="D102" i="9"/>
  <c r="E102" i="9"/>
  <c r="A103" i="9"/>
  <c r="C103" i="9"/>
  <c r="D103" i="9"/>
  <c r="E103" i="9"/>
  <c r="A104" i="9"/>
  <c r="C104" i="9"/>
  <c r="D104" i="9"/>
  <c r="E104" i="9"/>
  <c r="A105" i="9"/>
  <c r="C105" i="9"/>
  <c r="D105" i="9"/>
  <c r="E105" i="9"/>
  <c r="A106" i="9"/>
  <c r="C106" i="9"/>
  <c r="D106" i="9"/>
  <c r="E106" i="9"/>
  <c r="A107" i="9"/>
  <c r="C107" i="9"/>
  <c r="D107" i="9"/>
  <c r="E107" i="9"/>
  <c r="A108" i="9"/>
  <c r="C108" i="9"/>
  <c r="D108" i="9"/>
  <c r="E108" i="9"/>
  <c r="A109" i="9"/>
  <c r="C109" i="9"/>
  <c r="D109" i="9"/>
  <c r="E109" i="9"/>
  <c r="A110" i="9"/>
  <c r="C110" i="9"/>
  <c r="D110" i="9"/>
  <c r="E110" i="9"/>
  <c r="A111" i="9"/>
  <c r="C111" i="9"/>
  <c r="D111" i="9"/>
  <c r="E111" i="9"/>
  <c r="A112" i="9"/>
  <c r="C112" i="9"/>
  <c r="D112" i="9"/>
  <c r="E112" i="9"/>
  <c r="A113" i="9"/>
  <c r="C113" i="9"/>
  <c r="D113" i="9"/>
  <c r="E113" i="9"/>
  <c r="A114" i="9"/>
  <c r="C114" i="9"/>
  <c r="D114" i="9"/>
  <c r="E114" i="9"/>
  <c r="A115" i="9"/>
  <c r="C115" i="9"/>
  <c r="D115" i="9"/>
  <c r="E115" i="9"/>
  <c r="A116" i="9"/>
  <c r="C116" i="9"/>
  <c r="D116" i="9"/>
  <c r="E116" i="9"/>
  <c r="A117" i="9"/>
  <c r="C117" i="9"/>
  <c r="D117" i="9"/>
  <c r="E117" i="9"/>
  <c r="A118" i="9"/>
  <c r="C118" i="9"/>
  <c r="D118" i="9"/>
  <c r="E118" i="9"/>
  <c r="A119" i="9"/>
  <c r="C119" i="9"/>
  <c r="D119" i="9"/>
  <c r="E119" i="9"/>
  <c r="A120" i="9"/>
  <c r="C120" i="9"/>
  <c r="D120" i="9"/>
  <c r="E120" i="9"/>
  <c r="A121" i="9"/>
  <c r="C121" i="9"/>
  <c r="D121" i="9"/>
  <c r="E121" i="9"/>
  <c r="A68" i="10"/>
  <c r="C68" i="10"/>
  <c r="D68" i="10"/>
  <c r="E68" i="10"/>
  <c r="A69" i="10"/>
  <c r="C69" i="10"/>
  <c r="D69" i="10"/>
  <c r="E69" i="10"/>
  <c r="A70" i="10"/>
  <c r="C70" i="10"/>
  <c r="D70" i="10"/>
  <c r="E70" i="10"/>
  <c r="A71" i="10"/>
  <c r="C71" i="10"/>
  <c r="D71" i="10"/>
  <c r="E71" i="10"/>
  <c r="A72" i="10"/>
  <c r="C72" i="10"/>
  <c r="D72" i="10"/>
  <c r="E72" i="10"/>
  <c r="A73" i="10"/>
  <c r="C73" i="10"/>
  <c r="D73" i="10"/>
  <c r="E73" i="10"/>
  <c r="A74" i="10"/>
  <c r="C74" i="10"/>
  <c r="D74" i="10"/>
  <c r="E74" i="10"/>
  <c r="A75" i="10"/>
  <c r="C75" i="10"/>
  <c r="D75" i="10"/>
  <c r="E75" i="10"/>
  <c r="A76" i="10"/>
  <c r="C76" i="10"/>
  <c r="D76" i="10"/>
  <c r="E76" i="10"/>
  <c r="A77" i="10"/>
  <c r="C77" i="10"/>
  <c r="D77" i="10"/>
  <c r="E77" i="10"/>
  <c r="A78" i="10"/>
  <c r="C78" i="10"/>
  <c r="D78" i="10"/>
  <c r="E78" i="10"/>
  <c r="A79" i="10"/>
  <c r="C79" i="10"/>
  <c r="D79" i="10"/>
  <c r="E79" i="10"/>
  <c r="A80" i="10"/>
  <c r="C80" i="10"/>
  <c r="D80" i="10"/>
  <c r="E80" i="10"/>
  <c r="A81" i="10"/>
  <c r="C81" i="10"/>
  <c r="D81" i="10"/>
  <c r="E81" i="10"/>
  <c r="A82" i="10"/>
  <c r="C82" i="10"/>
  <c r="D82" i="10"/>
  <c r="E82" i="10"/>
  <c r="A83" i="10"/>
  <c r="C83" i="10"/>
  <c r="D83" i="10"/>
  <c r="E83" i="10"/>
  <c r="A84" i="10"/>
  <c r="C84" i="10"/>
  <c r="D84" i="10"/>
  <c r="E84" i="10"/>
  <c r="A85" i="10"/>
  <c r="C85" i="10"/>
  <c r="D85" i="10"/>
  <c r="E85" i="10"/>
  <c r="A86" i="10"/>
  <c r="C86" i="10"/>
  <c r="D86" i="10"/>
  <c r="A87" i="10"/>
  <c r="C87" i="10"/>
  <c r="D87" i="10"/>
  <c r="E87" i="10"/>
  <c r="A88" i="10"/>
  <c r="C88" i="10"/>
  <c r="D88" i="10"/>
  <c r="E88" i="10"/>
  <c r="A89" i="10"/>
  <c r="C89" i="10"/>
  <c r="D89" i="10"/>
  <c r="E89" i="10"/>
  <c r="A90" i="10"/>
  <c r="C90" i="10"/>
  <c r="D90" i="10"/>
  <c r="E90" i="10"/>
  <c r="A91" i="10"/>
  <c r="C91" i="10"/>
  <c r="D91" i="10"/>
  <c r="E91" i="10"/>
  <c r="A92" i="10"/>
  <c r="C92" i="10"/>
  <c r="D92" i="10"/>
  <c r="E92" i="10"/>
  <c r="A93" i="10"/>
  <c r="C93" i="10"/>
  <c r="D93" i="10"/>
  <c r="E93" i="10"/>
  <c r="A94" i="10"/>
  <c r="C94" i="10"/>
  <c r="D94" i="10"/>
  <c r="E94" i="10"/>
  <c r="A95" i="10"/>
  <c r="C95" i="10"/>
  <c r="D95" i="10"/>
  <c r="E95" i="10"/>
  <c r="A96" i="10"/>
  <c r="C96" i="10"/>
  <c r="D96" i="10"/>
  <c r="E96" i="10"/>
  <c r="A97" i="10"/>
  <c r="C97" i="10"/>
  <c r="D97" i="10"/>
  <c r="E97" i="10"/>
  <c r="A98" i="10"/>
  <c r="C98" i="10"/>
  <c r="D98" i="10"/>
  <c r="E98" i="10"/>
  <c r="A99" i="10"/>
  <c r="C99" i="10"/>
  <c r="D99" i="10"/>
  <c r="E99" i="10"/>
  <c r="A100" i="10"/>
  <c r="C100" i="10"/>
  <c r="D100" i="10"/>
  <c r="E100" i="10"/>
  <c r="A101" i="10"/>
  <c r="C101" i="10"/>
  <c r="D101" i="10"/>
  <c r="E101" i="10"/>
  <c r="A102" i="10"/>
  <c r="C102" i="10"/>
  <c r="D102" i="10"/>
  <c r="E102" i="10"/>
  <c r="A103" i="10"/>
  <c r="C103" i="10"/>
  <c r="D103" i="10"/>
  <c r="E103" i="10"/>
  <c r="A104" i="10"/>
  <c r="C104" i="10"/>
  <c r="D104" i="10"/>
  <c r="E104" i="10"/>
  <c r="A105" i="10"/>
  <c r="C105" i="10"/>
  <c r="D105" i="10"/>
  <c r="E105" i="10"/>
  <c r="A106" i="10"/>
  <c r="C106" i="10"/>
  <c r="D106" i="10"/>
  <c r="E106" i="10"/>
  <c r="A107" i="10"/>
  <c r="C107" i="10"/>
  <c r="D107" i="10"/>
  <c r="E107" i="10"/>
  <c r="A108" i="10"/>
  <c r="C108" i="10"/>
  <c r="D108" i="10"/>
  <c r="E108" i="10"/>
  <c r="A109" i="10"/>
  <c r="C109" i="10"/>
  <c r="D109" i="10"/>
  <c r="E109" i="10"/>
  <c r="A110" i="10"/>
  <c r="C110" i="10"/>
  <c r="D110" i="10"/>
  <c r="E110" i="10"/>
  <c r="A111" i="10"/>
  <c r="C111" i="10"/>
  <c r="D111" i="10"/>
  <c r="E111" i="10"/>
  <c r="A112" i="10"/>
  <c r="C112" i="10"/>
  <c r="D112" i="10"/>
  <c r="E112" i="10"/>
  <c r="A113" i="10"/>
  <c r="C113" i="10"/>
  <c r="D113" i="10"/>
  <c r="E113" i="10"/>
  <c r="A114" i="10"/>
  <c r="C114" i="10"/>
  <c r="D114" i="10"/>
  <c r="E114" i="10"/>
  <c r="A115" i="10"/>
  <c r="C115" i="10"/>
  <c r="D115" i="10"/>
  <c r="E115" i="10"/>
  <c r="A116" i="10"/>
  <c r="C116" i="10"/>
  <c r="D116" i="10"/>
  <c r="E116" i="10"/>
  <c r="A117" i="10"/>
  <c r="C117" i="10"/>
  <c r="D117" i="10"/>
  <c r="E117" i="10"/>
  <c r="A118" i="10"/>
  <c r="C118" i="10"/>
  <c r="D118" i="10"/>
  <c r="E118" i="10"/>
  <c r="A119" i="10"/>
  <c r="C119" i="10"/>
  <c r="D119" i="10"/>
  <c r="E119" i="10"/>
  <c r="A120" i="10"/>
  <c r="C120" i="10"/>
  <c r="D120" i="10"/>
  <c r="E120" i="10"/>
  <c r="A121" i="10"/>
  <c r="C121" i="10"/>
  <c r="D121" i="10"/>
  <c r="E121" i="10"/>
  <c r="A68" i="12"/>
  <c r="C68" i="12"/>
  <c r="D68" i="12"/>
  <c r="E68" i="12"/>
  <c r="A69" i="12"/>
  <c r="C69" i="12"/>
  <c r="D69" i="12"/>
  <c r="E69" i="12"/>
  <c r="A70" i="12"/>
  <c r="C70" i="12"/>
  <c r="D70" i="12"/>
  <c r="E70" i="12"/>
  <c r="A71" i="12"/>
  <c r="C71" i="12"/>
  <c r="D71" i="12"/>
  <c r="E71" i="12"/>
  <c r="A72" i="12"/>
  <c r="C72" i="12"/>
  <c r="D72" i="12"/>
  <c r="E72" i="12"/>
  <c r="A73" i="12"/>
  <c r="C73" i="12"/>
  <c r="D73" i="12"/>
  <c r="E73" i="12"/>
  <c r="A74" i="12"/>
  <c r="C74" i="12"/>
  <c r="D74" i="12"/>
  <c r="E74" i="12"/>
  <c r="A75" i="12"/>
  <c r="C75" i="12"/>
  <c r="D75" i="12"/>
  <c r="E75" i="12"/>
  <c r="A76" i="12"/>
  <c r="C76" i="12"/>
  <c r="D76" i="12"/>
  <c r="E76" i="12"/>
  <c r="A77" i="12"/>
  <c r="C77" i="12"/>
  <c r="D77" i="12"/>
  <c r="E77" i="12"/>
  <c r="A78" i="12"/>
  <c r="C78" i="12"/>
  <c r="D78" i="12"/>
  <c r="E78" i="12"/>
  <c r="A79" i="12"/>
  <c r="C79" i="12"/>
  <c r="D79" i="12"/>
  <c r="E79" i="12"/>
  <c r="A80" i="12"/>
  <c r="C80" i="12"/>
  <c r="D80" i="12"/>
  <c r="E80" i="12"/>
  <c r="A81" i="12"/>
  <c r="C81" i="12"/>
  <c r="D81" i="12"/>
  <c r="E81" i="12"/>
  <c r="A82" i="12"/>
  <c r="C82" i="12"/>
  <c r="D82" i="12"/>
  <c r="E82" i="12"/>
  <c r="A83" i="12"/>
  <c r="C83" i="12"/>
  <c r="D83" i="12"/>
  <c r="E83" i="12"/>
  <c r="A84" i="12"/>
  <c r="C84" i="12"/>
  <c r="D84" i="12"/>
  <c r="E84" i="12"/>
  <c r="A85" i="12"/>
  <c r="C85" i="12"/>
  <c r="D85" i="12"/>
  <c r="E85" i="12"/>
  <c r="A86" i="12"/>
  <c r="C86" i="12"/>
  <c r="D86" i="12"/>
  <c r="A87" i="12"/>
  <c r="C87" i="12"/>
  <c r="D87" i="12"/>
  <c r="E87" i="12"/>
  <c r="A88" i="12"/>
  <c r="C88" i="12"/>
  <c r="D88" i="12"/>
  <c r="E88" i="12"/>
  <c r="A89" i="12"/>
  <c r="C89" i="12"/>
  <c r="D89" i="12"/>
  <c r="E89" i="12"/>
  <c r="A90" i="12"/>
  <c r="C90" i="12"/>
  <c r="D90" i="12"/>
  <c r="E90" i="12"/>
  <c r="A91" i="12"/>
  <c r="C91" i="12"/>
  <c r="D91" i="12"/>
  <c r="E91" i="12"/>
  <c r="A92" i="12"/>
  <c r="C92" i="12"/>
  <c r="D92" i="12"/>
  <c r="E92" i="12"/>
  <c r="A93" i="12"/>
  <c r="C93" i="12"/>
  <c r="D93" i="12"/>
  <c r="E93" i="12"/>
  <c r="A94" i="12"/>
  <c r="C94" i="12"/>
  <c r="D94" i="12"/>
  <c r="E94" i="12"/>
  <c r="A95" i="12"/>
  <c r="C95" i="12"/>
  <c r="D95" i="12"/>
  <c r="E95" i="12"/>
  <c r="A96" i="12"/>
  <c r="C96" i="12"/>
  <c r="D96" i="12"/>
  <c r="E96" i="12"/>
  <c r="A97" i="12"/>
  <c r="C97" i="12"/>
  <c r="D97" i="12"/>
  <c r="E97" i="12"/>
  <c r="A98" i="12"/>
  <c r="C98" i="12"/>
  <c r="D98" i="12"/>
  <c r="E98" i="12"/>
  <c r="A99" i="12"/>
  <c r="C99" i="12"/>
  <c r="D99" i="12"/>
  <c r="E99" i="12"/>
  <c r="A100" i="12"/>
  <c r="C100" i="12"/>
  <c r="D100" i="12"/>
  <c r="E100" i="12"/>
  <c r="A101" i="12"/>
  <c r="C101" i="12"/>
  <c r="D101" i="12"/>
  <c r="E101" i="12"/>
  <c r="A102" i="12"/>
  <c r="C102" i="12"/>
  <c r="D102" i="12"/>
  <c r="E102" i="12"/>
  <c r="A103" i="12"/>
  <c r="C103" i="12"/>
  <c r="D103" i="12"/>
  <c r="E103" i="12"/>
  <c r="A104" i="12"/>
  <c r="C104" i="12"/>
  <c r="D104" i="12"/>
  <c r="E104" i="12"/>
  <c r="A105" i="12"/>
  <c r="C105" i="12"/>
  <c r="D105" i="12"/>
  <c r="E105" i="12"/>
  <c r="A106" i="12"/>
  <c r="C106" i="12"/>
  <c r="D106" i="12"/>
  <c r="E106" i="12"/>
  <c r="A107" i="12"/>
  <c r="C107" i="12"/>
  <c r="D107" i="12"/>
  <c r="E107" i="12"/>
  <c r="A108" i="12"/>
  <c r="C108" i="12"/>
  <c r="D108" i="12"/>
  <c r="E108" i="12"/>
  <c r="A109" i="12"/>
  <c r="C109" i="12"/>
  <c r="D109" i="12"/>
  <c r="E109" i="12"/>
  <c r="A110" i="12"/>
  <c r="C110" i="12"/>
  <c r="D110" i="12"/>
  <c r="E110" i="12"/>
  <c r="A111" i="12"/>
  <c r="C111" i="12"/>
  <c r="D111" i="12"/>
  <c r="E111" i="12"/>
  <c r="A112" i="12"/>
  <c r="C112" i="12"/>
  <c r="D112" i="12"/>
  <c r="E112" i="12"/>
  <c r="A113" i="12"/>
  <c r="C113" i="12"/>
  <c r="D113" i="12"/>
  <c r="E113" i="12"/>
  <c r="A114" i="12"/>
  <c r="C114" i="12"/>
  <c r="D114" i="12"/>
  <c r="E114" i="12"/>
  <c r="A115" i="12"/>
  <c r="C115" i="12"/>
  <c r="D115" i="12"/>
  <c r="E115" i="12"/>
  <c r="A116" i="12"/>
  <c r="C116" i="12"/>
  <c r="D116" i="12"/>
  <c r="E116" i="12"/>
  <c r="A117" i="12"/>
  <c r="C117" i="12"/>
  <c r="D117" i="12"/>
  <c r="E117" i="12"/>
  <c r="A118" i="12"/>
  <c r="C118" i="12"/>
  <c r="D118" i="12"/>
  <c r="E118" i="12"/>
  <c r="A119" i="12"/>
  <c r="C119" i="12"/>
  <c r="D119" i="12"/>
  <c r="E119" i="12"/>
  <c r="A120" i="12"/>
  <c r="C120" i="12"/>
  <c r="D120" i="12"/>
  <c r="E120" i="12"/>
  <c r="A121" i="12"/>
  <c r="C121" i="12"/>
  <c r="D121" i="12"/>
  <c r="E121" i="12"/>
  <c r="A68" i="13"/>
  <c r="C68" i="13"/>
  <c r="D68" i="13"/>
  <c r="E68" i="13"/>
  <c r="A69" i="13"/>
  <c r="C69" i="13"/>
  <c r="D69" i="13"/>
  <c r="E69" i="13"/>
  <c r="A70" i="13"/>
  <c r="C70" i="13"/>
  <c r="D70" i="13"/>
  <c r="E70" i="13"/>
  <c r="A71" i="13"/>
  <c r="C71" i="13"/>
  <c r="D71" i="13"/>
  <c r="E71" i="13"/>
  <c r="A72" i="13"/>
  <c r="C72" i="13"/>
  <c r="D72" i="13"/>
  <c r="E72" i="13"/>
  <c r="A73" i="13"/>
  <c r="C73" i="13"/>
  <c r="D73" i="13"/>
  <c r="E73" i="13"/>
  <c r="A74" i="13"/>
  <c r="C74" i="13"/>
  <c r="D74" i="13"/>
  <c r="E74" i="13"/>
  <c r="A75" i="13"/>
  <c r="C75" i="13"/>
  <c r="D75" i="13"/>
  <c r="E75" i="13"/>
  <c r="A76" i="13"/>
  <c r="C76" i="13"/>
  <c r="D76" i="13"/>
  <c r="E76" i="13"/>
  <c r="A77" i="13"/>
  <c r="C77" i="13"/>
  <c r="D77" i="13"/>
  <c r="E77" i="13"/>
  <c r="A78" i="13"/>
  <c r="C78" i="13"/>
  <c r="D78" i="13"/>
  <c r="E78" i="13"/>
  <c r="A79" i="13"/>
  <c r="C79" i="13"/>
  <c r="D79" i="13"/>
  <c r="E79" i="13"/>
  <c r="A80" i="13"/>
  <c r="C80" i="13"/>
  <c r="D80" i="13"/>
  <c r="E80" i="13"/>
  <c r="A81" i="13"/>
  <c r="C81" i="13"/>
  <c r="D81" i="13"/>
  <c r="E81" i="13"/>
  <c r="A82" i="13"/>
  <c r="C82" i="13"/>
  <c r="D82" i="13"/>
  <c r="E82" i="13"/>
  <c r="A83" i="13"/>
  <c r="C83" i="13"/>
  <c r="D83" i="13"/>
  <c r="E83" i="13"/>
  <c r="A84" i="13"/>
  <c r="C84" i="13"/>
  <c r="D84" i="13"/>
  <c r="E84" i="13"/>
  <c r="A85" i="13"/>
  <c r="C85" i="13"/>
  <c r="D85" i="13"/>
  <c r="E85" i="13"/>
  <c r="A86" i="13"/>
  <c r="C86" i="13"/>
  <c r="D86" i="13"/>
  <c r="A87" i="13"/>
  <c r="C87" i="13"/>
  <c r="D87" i="13"/>
  <c r="E87" i="13"/>
  <c r="A88" i="13"/>
  <c r="C88" i="13"/>
  <c r="D88" i="13"/>
  <c r="E88" i="13"/>
  <c r="A89" i="13"/>
  <c r="C89" i="13"/>
  <c r="D89" i="13"/>
  <c r="E89" i="13"/>
  <c r="A90" i="13"/>
  <c r="C90" i="13"/>
  <c r="D90" i="13"/>
  <c r="E90" i="13"/>
  <c r="A91" i="13"/>
  <c r="C91" i="13"/>
  <c r="D91" i="13"/>
  <c r="E91" i="13"/>
  <c r="A92" i="13"/>
  <c r="C92" i="13"/>
  <c r="D92" i="13"/>
  <c r="E92" i="13"/>
  <c r="A93" i="13"/>
  <c r="C93" i="13"/>
  <c r="D93" i="13"/>
  <c r="E93" i="13"/>
  <c r="A94" i="13"/>
  <c r="C94" i="13"/>
  <c r="D94" i="13"/>
  <c r="E94" i="13"/>
  <c r="A95" i="13"/>
  <c r="C95" i="13"/>
  <c r="D95" i="13"/>
  <c r="E95" i="13"/>
  <c r="A96" i="13"/>
  <c r="C96" i="13"/>
  <c r="D96" i="13"/>
  <c r="E96" i="13"/>
  <c r="A97" i="13"/>
  <c r="C97" i="13"/>
  <c r="D97" i="13"/>
  <c r="E97" i="13"/>
  <c r="A98" i="13"/>
  <c r="C98" i="13"/>
  <c r="D98" i="13"/>
  <c r="E98" i="13"/>
  <c r="A99" i="13"/>
  <c r="C99" i="13"/>
  <c r="D99" i="13"/>
  <c r="E99" i="13"/>
  <c r="A100" i="13"/>
  <c r="C100" i="13"/>
  <c r="D100" i="13"/>
  <c r="E100" i="13"/>
  <c r="A101" i="13"/>
  <c r="C101" i="13"/>
  <c r="D101" i="13"/>
  <c r="E101" i="13"/>
  <c r="A102" i="13"/>
  <c r="C102" i="13"/>
  <c r="D102" i="13"/>
  <c r="E102" i="13"/>
  <c r="A103" i="13"/>
  <c r="C103" i="13"/>
  <c r="D103" i="13"/>
  <c r="E103" i="13"/>
  <c r="A104" i="13"/>
  <c r="C104" i="13"/>
  <c r="D104" i="13"/>
  <c r="E104" i="13"/>
  <c r="A105" i="13"/>
  <c r="C105" i="13"/>
  <c r="D105" i="13"/>
  <c r="E105" i="13"/>
  <c r="A106" i="13"/>
  <c r="C106" i="13"/>
  <c r="D106" i="13"/>
  <c r="E106" i="13"/>
  <c r="A107" i="13"/>
  <c r="C107" i="13"/>
  <c r="D107" i="13"/>
  <c r="E107" i="13"/>
  <c r="A108" i="13"/>
  <c r="C108" i="13"/>
  <c r="D108" i="13"/>
  <c r="E108" i="13"/>
  <c r="A109" i="13"/>
  <c r="C109" i="13"/>
  <c r="D109" i="13"/>
  <c r="E109" i="13"/>
  <c r="A110" i="13"/>
  <c r="C110" i="13"/>
  <c r="D110" i="13"/>
  <c r="E110" i="13"/>
  <c r="A111" i="13"/>
  <c r="C111" i="13"/>
  <c r="D111" i="13"/>
  <c r="E111" i="13"/>
  <c r="A112" i="13"/>
  <c r="C112" i="13"/>
  <c r="D112" i="13"/>
  <c r="E112" i="13"/>
  <c r="A113" i="13"/>
  <c r="C113" i="13"/>
  <c r="D113" i="13"/>
  <c r="E113" i="13"/>
  <c r="A114" i="13"/>
  <c r="C114" i="13"/>
  <c r="D114" i="13"/>
  <c r="E114" i="13"/>
  <c r="A115" i="13"/>
  <c r="C115" i="13"/>
  <c r="D115" i="13"/>
  <c r="E115" i="13"/>
  <c r="A116" i="13"/>
  <c r="C116" i="13"/>
  <c r="D116" i="13"/>
  <c r="E116" i="13"/>
  <c r="A117" i="13"/>
  <c r="C117" i="13"/>
  <c r="D117" i="13"/>
  <c r="E117" i="13"/>
  <c r="A118" i="13"/>
  <c r="C118" i="13"/>
  <c r="D118" i="13"/>
  <c r="E118" i="13"/>
  <c r="A119" i="13"/>
  <c r="C119" i="13"/>
  <c r="D119" i="13"/>
  <c r="E119" i="13"/>
  <c r="A120" i="13"/>
  <c r="C120" i="13"/>
  <c r="D120" i="13"/>
  <c r="E120" i="13"/>
  <c r="A121" i="13"/>
  <c r="C121" i="13"/>
  <c r="D121" i="13"/>
  <c r="E121" i="13"/>
  <c r="A68" i="15"/>
  <c r="C68" i="15"/>
  <c r="D68" i="15"/>
  <c r="E68" i="15"/>
  <c r="A69" i="15"/>
  <c r="C69" i="15"/>
  <c r="D69" i="15"/>
  <c r="E69" i="15"/>
  <c r="A70" i="15"/>
  <c r="C70" i="15"/>
  <c r="D70" i="15"/>
  <c r="E70" i="15"/>
  <c r="A71" i="15"/>
  <c r="C71" i="15"/>
  <c r="D71" i="15"/>
  <c r="E71" i="15"/>
  <c r="A72" i="15"/>
  <c r="C72" i="15"/>
  <c r="D72" i="15"/>
  <c r="E72" i="15"/>
  <c r="A73" i="15"/>
  <c r="C73" i="15"/>
  <c r="D73" i="15"/>
  <c r="E73" i="15"/>
  <c r="A74" i="15"/>
  <c r="C74" i="15"/>
  <c r="D74" i="15"/>
  <c r="E74" i="15"/>
  <c r="A75" i="15"/>
  <c r="C75" i="15"/>
  <c r="D75" i="15"/>
  <c r="E75" i="15"/>
  <c r="A76" i="15"/>
  <c r="C76" i="15"/>
  <c r="D76" i="15"/>
  <c r="E76" i="15"/>
  <c r="A77" i="15"/>
  <c r="C77" i="15"/>
  <c r="D77" i="15"/>
  <c r="E77" i="15"/>
  <c r="A78" i="15"/>
  <c r="C78" i="15"/>
  <c r="D78" i="15"/>
  <c r="E78" i="15"/>
  <c r="A79" i="15"/>
  <c r="C79" i="15"/>
  <c r="D79" i="15"/>
  <c r="E79" i="15"/>
  <c r="A80" i="15"/>
  <c r="C80" i="15"/>
  <c r="D80" i="15"/>
  <c r="E80" i="15"/>
  <c r="A81" i="15"/>
  <c r="C81" i="15"/>
  <c r="D81" i="15"/>
  <c r="E81" i="15"/>
  <c r="A82" i="15"/>
  <c r="C82" i="15"/>
  <c r="D82" i="15"/>
  <c r="E82" i="15"/>
  <c r="A83" i="15"/>
  <c r="C83" i="15"/>
  <c r="D83" i="15"/>
  <c r="E83" i="15"/>
  <c r="A84" i="15"/>
  <c r="C84" i="15"/>
  <c r="D84" i="15"/>
  <c r="E84" i="15"/>
  <c r="A85" i="15"/>
  <c r="C85" i="15"/>
  <c r="D85" i="15"/>
  <c r="E85" i="15"/>
  <c r="A86" i="15"/>
  <c r="C86" i="15"/>
  <c r="D86" i="15"/>
  <c r="A87" i="15"/>
  <c r="C87" i="15"/>
  <c r="D87" i="15"/>
  <c r="E87" i="15"/>
  <c r="A88" i="15"/>
  <c r="C88" i="15"/>
  <c r="D88" i="15"/>
  <c r="E88" i="15"/>
  <c r="A89" i="15"/>
  <c r="C89" i="15"/>
  <c r="D89" i="15"/>
  <c r="E89" i="15"/>
  <c r="A90" i="15"/>
  <c r="C90" i="15"/>
  <c r="D90" i="15"/>
  <c r="E90" i="15"/>
  <c r="A91" i="15"/>
  <c r="C91" i="15"/>
  <c r="D91" i="15"/>
  <c r="E91" i="15"/>
  <c r="A92" i="15"/>
  <c r="C92" i="15"/>
  <c r="D92" i="15"/>
  <c r="E92" i="15"/>
  <c r="A93" i="15"/>
  <c r="C93" i="15"/>
  <c r="D93" i="15"/>
  <c r="E93" i="15"/>
  <c r="A94" i="15"/>
  <c r="C94" i="15"/>
  <c r="D94" i="15"/>
  <c r="E94" i="15"/>
  <c r="A95" i="15"/>
  <c r="C95" i="15"/>
  <c r="D95" i="15"/>
  <c r="E95" i="15"/>
  <c r="A96" i="15"/>
  <c r="C96" i="15"/>
  <c r="D96" i="15"/>
  <c r="E96" i="15"/>
  <c r="A97" i="15"/>
  <c r="C97" i="15"/>
  <c r="D97" i="15"/>
  <c r="E97" i="15"/>
  <c r="A98" i="15"/>
  <c r="C98" i="15"/>
  <c r="D98" i="15"/>
  <c r="E98" i="15"/>
  <c r="A99" i="15"/>
  <c r="C99" i="15"/>
  <c r="D99" i="15"/>
  <c r="E99" i="15"/>
  <c r="A100" i="15"/>
  <c r="C100" i="15"/>
  <c r="D100" i="15"/>
  <c r="E100" i="15"/>
  <c r="A101" i="15"/>
  <c r="C101" i="15"/>
  <c r="D101" i="15"/>
  <c r="E101" i="15"/>
  <c r="A102" i="15"/>
  <c r="C102" i="15"/>
  <c r="D102" i="15"/>
  <c r="E102" i="15"/>
  <c r="A103" i="15"/>
  <c r="C103" i="15"/>
  <c r="D103" i="15"/>
  <c r="E103" i="15"/>
  <c r="A104" i="15"/>
  <c r="C104" i="15"/>
  <c r="D104" i="15"/>
  <c r="E104" i="15"/>
  <c r="A105" i="15"/>
  <c r="C105" i="15"/>
  <c r="D105" i="15"/>
  <c r="E105" i="15"/>
  <c r="A106" i="15"/>
  <c r="C106" i="15"/>
  <c r="D106" i="15"/>
  <c r="E106" i="15"/>
  <c r="A107" i="15"/>
  <c r="C107" i="15"/>
  <c r="D107" i="15"/>
  <c r="E107" i="15"/>
  <c r="A108" i="15"/>
  <c r="C108" i="15"/>
  <c r="D108" i="15"/>
  <c r="E108" i="15"/>
  <c r="A109" i="15"/>
  <c r="C109" i="15"/>
  <c r="D109" i="15"/>
  <c r="E109" i="15"/>
  <c r="A110" i="15"/>
  <c r="C110" i="15"/>
  <c r="D110" i="15"/>
  <c r="E110" i="15"/>
  <c r="A111" i="15"/>
  <c r="C111" i="15"/>
  <c r="D111" i="15"/>
  <c r="E111" i="15"/>
  <c r="A112" i="15"/>
  <c r="C112" i="15"/>
  <c r="D112" i="15"/>
  <c r="E112" i="15"/>
  <c r="A113" i="15"/>
  <c r="C113" i="15"/>
  <c r="D113" i="15"/>
  <c r="E113" i="15"/>
  <c r="A114" i="15"/>
  <c r="C114" i="15"/>
  <c r="D114" i="15"/>
  <c r="E114" i="15"/>
  <c r="A115" i="15"/>
  <c r="C115" i="15"/>
  <c r="D115" i="15"/>
  <c r="E115" i="15"/>
  <c r="A116" i="15"/>
  <c r="C116" i="15"/>
  <c r="D116" i="15"/>
  <c r="E116" i="15"/>
  <c r="A117" i="15"/>
  <c r="C117" i="15"/>
  <c r="D117" i="15"/>
  <c r="E117" i="15"/>
  <c r="A118" i="15"/>
  <c r="C118" i="15"/>
  <c r="D118" i="15"/>
  <c r="E118" i="15"/>
  <c r="A119" i="15"/>
  <c r="C119" i="15"/>
  <c r="D119" i="15"/>
  <c r="E119" i="15"/>
  <c r="A120" i="15"/>
  <c r="C120" i="15"/>
  <c r="D120" i="15"/>
  <c r="E120" i="15"/>
  <c r="A121" i="15"/>
  <c r="C121" i="15"/>
  <c r="D121" i="15"/>
  <c r="E121" i="15"/>
  <c r="A68" i="16"/>
  <c r="C68" i="16"/>
  <c r="D68" i="16"/>
  <c r="E68" i="16"/>
  <c r="A69" i="16"/>
  <c r="C69" i="16"/>
  <c r="D69" i="16"/>
  <c r="E69" i="16"/>
  <c r="A70" i="16"/>
  <c r="C70" i="16"/>
  <c r="D70" i="16"/>
  <c r="E70" i="16"/>
  <c r="A71" i="16"/>
  <c r="C71" i="16"/>
  <c r="D71" i="16"/>
  <c r="E71" i="16"/>
  <c r="A72" i="16"/>
  <c r="C72" i="16"/>
  <c r="D72" i="16"/>
  <c r="E72" i="16"/>
  <c r="A73" i="16"/>
  <c r="C73" i="16"/>
  <c r="D73" i="16"/>
  <c r="E73" i="16"/>
  <c r="A74" i="16"/>
  <c r="C74" i="16"/>
  <c r="D74" i="16"/>
  <c r="E74" i="16"/>
  <c r="A75" i="16"/>
  <c r="C75" i="16"/>
  <c r="D75" i="16"/>
  <c r="E75" i="16"/>
  <c r="A76" i="16"/>
  <c r="C76" i="16"/>
  <c r="D76" i="16"/>
  <c r="E76" i="16"/>
  <c r="A77" i="16"/>
  <c r="C77" i="16"/>
  <c r="D77" i="16"/>
  <c r="E77" i="16"/>
  <c r="A78" i="16"/>
  <c r="C78" i="16"/>
  <c r="D78" i="16"/>
  <c r="E78" i="16"/>
  <c r="A79" i="16"/>
  <c r="C79" i="16"/>
  <c r="D79" i="16"/>
  <c r="E79" i="16"/>
  <c r="A80" i="16"/>
  <c r="C80" i="16"/>
  <c r="D80" i="16"/>
  <c r="E80" i="16"/>
  <c r="A81" i="16"/>
  <c r="C81" i="16"/>
  <c r="D81" i="16"/>
  <c r="E81" i="16"/>
  <c r="A82" i="16"/>
  <c r="C82" i="16"/>
  <c r="D82" i="16"/>
  <c r="E82" i="16"/>
  <c r="A83" i="16"/>
  <c r="C83" i="16"/>
  <c r="D83" i="16"/>
  <c r="E83" i="16"/>
  <c r="A84" i="16"/>
  <c r="C84" i="16"/>
  <c r="D84" i="16"/>
  <c r="E84" i="16"/>
  <c r="A85" i="16"/>
  <c r="C85" i="16"/>
  <c r="D85" i="16"/>
  <c r="E85" i="16"/>
  <c r="A86" i="16"/>
  <c r="C86" i="16"/>
  <c r="D86" i="16"/>
  <c r="A87" i="16"/>
  <c r="C87" i="16"/>
  <c r="D87" i="16"/>
  <c r="E87" i="16"/>
  <c r="A88" i="16"/>
  <c r="C88" i="16"/>
  <c r="D88" i="16"/>
  <c r="E88" i="16"/>
  <c r="A89" i="16"/>
  <c r="C89" i="16"/>
  <c r="D89" i="16"/>
  <c r="E89" i="16"/>
  <c r="A90" i="16"/>
  <c r="C90" i="16"/>
  <c r="D90" i="16"/>
  <c r="E90" i="16"/>
  <c r="A91" i="16"/>
  <c r="C91" i="16"/>
  <c r="D91" i="16"/>
  <c r="E91" i="16"/>
  <c r="A92" i="16"/>
  <c r="C92" i="16"/>
  <c r="D92" i="16"/>
  <c r="E92" i="16"/>
  <c r="A93" i="16"/>
  <c r="C93" i="16"/>
  <c r="D93" i="16"/>
  <c r="E93" i="16"/>
  <c r="A94" i="16"/>
  <c r="C94" i="16"/>
  <c r="D94" i="16"/>
  <c r="E94" i="16"/>
  <c r="A95" i="16"/>
  <c r="C95" i="16"/>
  <c r="D95" i="16"/>
  <c r="E95" i="16"/>
  <c r="A96" i="16"/>
  <c r="C96" i="16"/>
  <c r="D96" i="16"/>
  <c r="E96" i="16"/>
  <c r="A97" i="16"/>
  <c r="C97" i="16"/>
  <c r="D97" i="16"/>
  <c r="E97" i="16"/>
  <c r="A98" i="16"/>
  <c r="C98" i="16"/>
  <c r="D98" i="16"/>
  <c r="E98" i="16"/>
  <c r="A99" i="16"/>
  <c r="C99" i="16"/>
  <c r="D99" i="16"/>
  <c r="E99" i="16"/>
  <c r="A100" i="16"/>
  <c r="C100" i="16"/>
  <c r="D100" i="16"/>
  <c r="E100" i="16"/>
  <c r="A101" i="16"/>
  <c r="C101" i="16"/>
  <c r="D101" i="16"/>
  <c r="E101" i="16"/>
  <c r="A102" i="16"/>
  <c r="C102" i="16"/>
  <c r="D102" i="16"/>
  <c r="E102" i="16"/>
  <c r="A103" i="16"/>
  <c r="C103" i="16"/>
  <c r="D103" i="16"/>
  <c r="E103" i="16"/>
  <c r="A104" i="16"/>
  <c r="C104" i="16"/>
  <c r="D104" i="16"/>
  <c r="E104" i="16"/>
  <c r="A105" i="16"/>
  <c r="C105" i="16"/>
  <c r="D105" i="16"/>
  <c r="E105" i="16"/>
  <c r="A106" i="16"/>
  <c r="C106" i="16"/>
  <c r="D106" i="16"/>
  <c r="E106" i="16"/>
  <c r="A107" i="16"/>
  <c r="C107" i="16"/>
  <c r="D107" i="16"/>
  <c r="E107" i="16"/>
  <c r="A108" i="16"/>
  <c r="C108" i="16"/>
  <c r="D108" i="16"/>
  <c r="E108" i="16"/>
  <c r="A109" i="16"/>
  <c r="C109" i="16"/>
  <c r="D109" i="16"/>
  <c r="E109" i="16"/>
  <c r="A110" i="16"/>
  <c r="C110" i="16"/>
  <c r="D110" i="16"/>
  <c r="E110" i="16"/>
  <c r="A111" i="16"/>
  <c r="C111" i="16"/>
  <c r="D111" i="16"/>
  <c r="E111" i="16"/>
  <c r="A112" i="16"/>
  <c r="C112" i="16"/>
  <c r="D112" i="16"/>
  <c r="E112" i="16"/>
  <c r="A113" i="16"/>
  <c r="C113" i="16"/>
  <c r="D113" i="16"/>
  <c r="E113" i="16"/>
  <c r="A114" i="16"/>
  <c r="C114" i="16"/>
  <c r="D114" i="16"/>
  <c r="E114" i="16"/>
  <c r="A115" i="16"/>
  <c r="C115" i="16"/>
  <c r="D115" i="16"/>
  <c r="E115" i="16"/>
  <c r="A116" i="16"/>
  <c r="C116" i="16"/>
  <c r="D116" i="16"/>
  <c r="E116" i="16"/>
  <c r="A117" i="16"/>
  <c r="C117" i="16"/>
  <c r="D117" i="16"/>
  <c r="E117" i="16"/>
  <c r="A118" i="16"/>
  <c r="C118" i="16"/>
  <c r="D118" i="16"/>
  <c r="E118" i="16"/>
  <c r="A119" i="16"/>
  <c r="C119" i="16"/>
  <c r="D119" i="16"/>
  <c r="E119" i="16"/>
  <c r="A120" i="16"/>
  <c r="C120" i="16"/>
  <c r="D120" i="16"/>
  <c r="E120" i="16"/>
  <c r="A121" i="16"/>
  <c r="C121" i="16"/>
  <c r="D121" i="16"/>
  <c r="E121" i="16"/>
  <c r="A68" i="18"/>
  <c r="C68" i="18"/>
  <c r="D68" i="18"/>
  <c r="E68" i="18"/>
  <c r="A69" i="18"/>
  <c r="C69" i="18"/>
  <c r="D69" i="18"/>
  <c r="E69" i="18"/>
  <c r="A70" i="18"/>
  <c r="C70" i="18"/>
  <c r="D70" i="18"/>
  <c r="E70" i="18"/>
  <c r="A71" i="18"/>
  <c r="C71" i="18"/>
  <c r="D71" i="18"/>
  <c r="E71" i="18"/>
  <c r="A72" i="18"/>
  <c r="C72" i="18"/>
  <c r="D72" i="18"/>
  <c r="E72" i="18"/>
  <c r="A73" i="18"/>
  <c r="C73" i="18"/>
  <c r="D73" i="18"/>
  <c r="E73" i="18"/>
  <c r="A74" i="18"/>
  <c r="C74" i="18"/>
  <c r="D74" i="18"/>
  <c r="E74" i="18"/>
  <c r="A75" i="18"/>
  <c r="C75" i="18"/>
  <c r="D75" i="18"/>
  <c r="E75" i="18"/>
  <c r="A76" i="18"/>
  <c r="C76" i="18"/>
  <c r="D76" i="18"/>
  <c r="E76" i="18"/>
  <c r="A77" i="18"/>
  <c r="C77" i="18"/>
  <c r="D77" i="18"/>
  <c r="E77" i="18"/>
  <c r="A78" i="18"/>
  <c r="C78" i="18"/>
  <c r="D78" i="18"/>
  <c r="E78" i="18"/>
  <c r="A79" i="18"/>
  <c r="C79" i="18"/>
  <c r="D79" i="18"/>
  <c r="E79" i="18"/>
  <c r="A80" i="18"/>
  <c r="C80" i="18"/>
  <c r="D80" i="18"/>
  <c r="E80" i="18"/>
  <c r="A81" i="18"/>
  <c r="C81" i="18"/>
  <c r="D81" i="18"/>
  <c r="E81" i="18"/>
  <c r="A82" i="18"/>
  <c r="C82" i="18"/>
  <c r="D82" i="18"/>
  <c r="E82" i="18"/>
  <c r="A83" i="18"/>
  <c r="C83" i="18"/>
  <c r="D83" i="18"/>
  <c r="E83" i="18"/>
  <c r="A84" i="18"/>
  <c r="C84" i="18"/>
  <c r="D84" i="18"/>
  <c r="E84" i="18"/>
  <c r="A85" i="18"/>
  <c r="C85" i="18"/>
  <c r="D85" i="18"/>
  <c r="E85" i="18"/>
  <c r="A86" i="18"/>
  <c r="C86" i="18"/>
  <c r="D86" i="18"/>
  <c r="A87" i="18"/>
  <c r="C87" i="18"/>
  <c r="D87" i="18"/>
  <c r="E87" i="18"/>
  <c r="A88" i="18"/>
  <c r="C88" i="18"/>
  <c r="D88" i="18"/>
  <c r="E88" i="18"/>
  <c r="A89" i="18"/>
  <c r="C89" i="18"/>
  <c r="D89" i="18"/>
  <c r="E89" i="18"/>
  <c r="A90" i="18"/>
  <c r="C90" i="18"/>
  <c r="D90" i="18"/>
  <c r="E90" i="18"/>
  <c r="A91" i="18"/>
  <c r="C91" i="18"/>
  <c r="D91" i="18"/>
  <c r="E91" i="18"/>
  <c r="A92" i="18"/>
  <c r="C92" i="18"/>
  <c r="D92" i="18"/>
  <c r="E92" i="18"/>
  <c r="A93" i="18"/>
  <c r="C93" i="18"/>
  <c r="D93" i="18"/>
  <c r="E93" i="18"/>
  <c r="A94" i="18"/>
  <c r="C94" i="18"/>
  <c r="D94" i="18"/>
  <c r="E94" i="18"/>
  <c r="A95" i="18"/>
  <c r="C95" i="18"/>
  <c r="D95" i="18"/>
  <c r="E95" i="18"/>
  <c r="A96" i="18"/>
  <c r="C96" i="18"/>
  <c r="D96" i="18"/>
  <c r="E96" i="18"/>
  <c r="A97" i="18"/>
  <c r="C97" i="18"/>
  <c r="D97" i="18"/>
  <c r="E97" i="18"/>
  <c r="A98" i="18"/>
  <c r="C98" i="18"/>
  <c r="D98" i="18"/>
  <c r="E98" i="18"/>
  <c r="A99" i="18"/>
  <c r="C99" i="18"/>
  <c r="D99" i="18"/>
  <c r="E99" i="18"/>
  <c r="A100" i="18"/>
  <c r="C100" i="18"/>
  <c r="D100" i="18"/>
  <c r="E100" i="18"/>
  <c r="A101" i="18"/>
  <c r="C101" i="18"/>
  <c r="D101" i="18"/>
  <c r="E101" i="18"/>
  <c r="A102" i="18"/>
  <c r="C102" i="18"/>
  <c r="D102" i="18"/>
  <c r="E102" i="18"/>
  <c r="A103" i="18"/>
  <c r="C103" i="18"/>
  <c r="D103" i="18"/>
  <c r="E103" i="18"/>
  <c r="A104" i="18"/>
  <c r="C104" i="18"/>
  <c r="D104" i="18"/>
  <c r="E104" i="18"/>
  <c r="A105" i="18"/>
  <c r="C105" i="18"/>
  <c r="D105" i="18"/>
  <c r="E105" i="18"/>
  <c r="A106" i="18"/>
  <c r="C106" i="18"/>
  <c r="D106" i="18"/>
  <c r="E106" i="18"/>
  <c r="A107" i="18"/>
  <c r="C107" i="18"/>
  <c r="D107" i="18"/>
  <c r="E107" i="18"/>
  <c r="A108" i="18"/>
  <c r="C108" i="18"/>
  <c r="D108" i="18"/>
  <c r="E108" i="18"/>
  <c r="A109" i="18"/>
  <c r="C109" i="18"/>
  <c r="D109" i="18"/>
  <c r="E109" i="18"/>
  <c r="A110" i="18"/>
  <c r="C110" i="18"/>
  <c r="D110" i="18"/>
  <c r="E110" i="18"/>
  <c r="A111" i="18"/>
  <c r="C111" i="18"/>
  <c r="D111" i="18"/>
  <c r="E111" i="18"/>
  <c r="A112" i="18"/>
  <c r="C112" i="18"/>
  <c r="D112" i="18"/>
  <c r="E112" i="18"/>
  <c r="A113" i="18"/>
  <c r="C113" i="18"/>
  <c r="D113" i="18"/>
  <c r="E113" i="18"/>
  <c r="A114" i="18"/>
  <c r="C114" i="18"/>
  <c r="D114" i="18"/>
  <c r="E114" i="18"/>
  <c r="A115" i="18"/>
  <c r="C115" i="18"/>
  <c r="D115" i="18"/>
  <c r="E115" i="18"/>
  <c r="A116" i="18"/>
  <c r="C116" i="18"/>
  <c r="D116" i="18"/>
  <c r="E116" i="18"/>
  <c r="A117" i="18"/>
  <c r="C117" i="18"/>
  <c r="D117" i="18"/>
  <c r="E117" i="18"/>
  <c r="A118" i="18"/>
  <c r="C118" i="18"/>
  <c r="D118" i="18"/>
  <c r="E118" i="18"/>
  <c r="A119" i="18"/>
  <c r="C119" i="18"/>
  <c r="D119" i="18"/>
  <c r="E119" i="18"/>
  <c r="A120" i="18"/>
  <c r="C120" i="18"/>
  <c r="D120" i="18"/>
  <c r="E120" i="18"/>
  <c r="A121" i="18"/>
  <c r="C121" i="18"/>
  <c r="D121" i="18"/>
  <c r="E121" i="18"/>
  <c r="A68" i="19"/>
  <c r="C68" i="19"/>
  <c r="D68" i="19"/>
  <c r="E68" i="19"/>
  <c r="A69" i="19"/>
  <c r="C69" i="19"/>
  <c r="D69" i="19"/>
  <c r="E69" i="19"/>
  <c r="A70" i="19"/>
  <c r="C70" i="19"/>
  <c r="D70" i="19"/>
  <c r="E70" i="19"/>
  <c r="A71" i="19"/>
  <c r="C71" i="19"/>
  <c r="D71" i="19"/>
  <c r="E71" i="19"/>
  <c r="A72" i="19"/>
  <c r="C72" i="19"/>
  <c r="D72" i="19"/>
  <c r="E72" i="19"/>
  <c r="A73" i="19"/>
  <c r="C73" i="19"/>
  <c r="D73" i="19"/>
  <c r="E73" i="19"/>
  <c r="A74" i="19"/>
  <c r="C74" i="19"/>
  <c r="D74" i="19"/>
  <c r="E74" i="19"/>
  <c r="A75" i="19"/>
  <c r="C75" i="19"/>
  <c r="D75" i="19"/>
  <c r="E75" i="19"/>
  <c r="A76" i="19"/>
  <c r="C76" i="19"/>
  <c r="D76" i="19"/>
  <c r="E76" i="19"/>
  <c r="A77" i="19"/>
  <c r="C77" i="19"/>
  <c r="D77" i="19"/>
  <c r="E77" i="19"/>
  <c r="A78" i="19"/>
  <c r="C78" i="19"/>
  <c r="D78" i="19"/>
  <c r="E78" i="19"/>
  <c r="A79" i="19"/>
  <c r="C79" i="19"/>
  <c r="D79" i="19"/>
  <c r="E79" i="19"/>
  <c r="A80" i="19"/>
  <c r="C80" i="19"/>
  <c r="D80" i="19"/>
  <c r="E80" i="19"/>
  <c r="A81" i="19"/>
  <c r="C81" i="19"/>
  <c r="D81" i="19"/>
  <c r="E81" i="19"/>
  <c r="A82" i="19"/>
  <c r="C82" i="19"/>
  <c r="D82" i="19"/>
  <c r="E82" i="19"/>
  <c r="A83" i="19"/>
  <c r="C83" i="19"/>
  <c r="D83" i="19"/>
  <c r="E83" i="19"/>
  <c r="A84" i="19"/>
  <c r="C84" i="19"/>
  <c r="D84" i="19"/>
  <c r="E84" i="19"/>
  <c r="A85" i="19"/>
  <c r="C85" i="19"/>
  <c r="D85" i="19"/>
  <c r="E85" i="19"/>
  <c r="A86" i="19"/>
  <c r="C86" i="19"/>
  <c r="D86" i="19"/>
  <c r="A87" i="19"/>
  <c r="C87" i="19"/>
  <c r="D87" i="19"/>
  <c r="E87" i="19"/>
  <c r="A88" i="19"/>
  <c r="C88" i="19"/>
  <c r="D88" i="19"/>
  <c r="E88" i="19"/>
  <c r="A89" i="19"/>
  <c r="C89" i="19"/>
  <c r="D89" i="19"/>
  <c r="E89" i="19"/>
  <c r="A90" i="19"/>
  <c r="C90" i="19"/>
  <c r="D90" i="19"/>
  <c r="E90" i="19"/>
  <c r="A91" i="19"/>
  <c r="C91" i="19"/>
  <c r="D91" i="19"/>
  <c r="E91" i="19"/>
  <c r="A92" i="19"/>
  <c r="C92" i="19"/>
  <c r="D92" i="19"/>
  <c r="E92" i="19"/>
  <c r="A93" i="19"/>
  <c r="C93" i="19"/>
  <c r="D93" i="19"/>
  <c r="E93" i="19"/>
  <c r="A94" i="19"/>
  <c r="C94" i="19"/>
  <c r="D94" i="19"/>
  <c r="E94" i="19"/>
  <c r="A95" i="19"/>
  <c r="C95" i="19"/>
  <c r="D95" i="19"/>
  <c r="E95" i="19"/>
  <c r="A96" i="19"/>
  <c r="C96" i="19"/>
  <c r="D96" i="19"/>
  <c r="E96" i="19"/>
  <c r="A97" i="19"/>
  <c r="C97" i="19"/>
  <c r="D97" i="19"/>
  <c r="E97" i="19"/>
  <c r="A98" i="19"/>
  <c r="C98" i="19"/>
  <c r="D98" i="19"/>
  <c r="E98" i="19"/>
  <c r="A99" i="19"/>
  <c r="C99" i="19"/>
  <c r="D99" i="19"/>
  <c r="E99" i="19"/>
  <c r="A100" i="19"/>
  <c r="C100" i="19"/>
  <c r="D100" i="19"/>
  <c r="E100" i="19"/>
  <c r="A101" i="19"/>
  <c r="C101" i="19"/>
  <c r="D101" i="19"/>
  <c r="E101" i="19"/>
  <c r="A102" i="19"/>
  <c r="C102" i="19"/>
  <c r="D102" i="19"/>
  <c r="E102" i="19"/>
  <c r="A103" i="19"/>
  <c r="C103" i="19"/>
  <c r="D103" i="19"/>
  <c r="E103" i="19"/>
  <c r="A104" i="19"/>
  <c r="C104" i="19"/>
  <c r="D104" i="19"/>
  <c r="E104" i="19"/>
  <c r="A105" i="19"/>
  <c r="C105" i="19"/>
  <c r="D105" i="19"/>
  <c r="E105" i="19"/>
  <c r="A106" i="19"/>
  <c r="C106" i="19"/>
  <c r="D106" i="19"/>
  <c r="E106" i="19"/>
  <c r="A107" i="19"/>
  <c r="C107" i="19"/>
  <c r="D107" i="19"/>
  <c r="E107" i="19"/>
  <c r="A108" i="19"/>
  <c r="C108" i="19"/>
  <c r="D108" i="19"/>
  <c r="E108" i="19"/>
  <c r="A109" i="19"/>
  <c r="C109" i="19"/>
  <c r="D109" i="19"/>
  <c r="E109" i="19"/>
  <c r="A110" i="19"/>
  <c r="C110" i="19"/>
  <c r="D110" i="19"/>
  <c r="E110" i="19"/>
  <c r="A111" i="19"/>
  <c r="C111" i="19"/>
  <c r="D111" i="19"/>
  <c r="E111" i="19"/>
  <c r="A112" i="19"/>
  <c r="C112" i="19"/>
  <c r="D112" i="19"/>
  <c r="E112" i="19"/>
  <c r="A113" i="19"/>
  <c r="C113" i="19"/>
  <c r="D113" i="19"/>
  <c r="E113" i="19"/>
  <c r="A114" i="19"/>
  <c r="C114" i="19"/>
  <c r="D114" i="19"/>
  <c r="E114" i="19"/>
  <c r="A115" i="19"/>
  <c r="C115" i="19"/>
  <c r="D115" i="19"/>
  <c r="E115" i="19"/>
  <c r="A116" i="19"/>
  <c r="C116" i="19"/>
  <c r="D116" i="19"/>
  <c r="E116" i="19"/>
  <c r="A117" i="19"/>
  <c r="C117" i="19"/>
  <c r="D117" i="19"/>
  <c r="E117" i="19"/>
  <c r="A118" i="19"/>
  <c r="C118" i="19"/>
  <c r="D118" i="19"/>
  <c r="E118" i="19"/>
  <c r="A119" i="19"/>
  <c r="C119" i="19"/>
  <c r="D119" i="19"/>
  <c r="E119" i="19"/>
  <c r="A120" i="19"/>
  <c r="C120" i="19"/>
  <c r="D120" i="19"/>
  <c r="E120" i="19"/>
  <c r="A121" i="19"/>
  <c r="C121" i="19"/>
  <c r="D121" i="19"/>
  <c r="E121" i="19"/>
  <c r="A68" i="20"/>
  <c r="C68" i="20"/>
  <c r="D68" i="20"/>
  <c r="E68" i="20"/>
  <c r="A69" i="20"/>
  <c r="C69" i="20"/>
  <c r="D69" i="20"/>
  <c r="E69" i="20"/>
  <c r="A70" i="20"/>
  <c r="C70" i="20"/>
  <c r="D70" i="20"/>
  <c r="E70" i="20"/>
  <c r="A71" i="20"/>
  <c r="C71" i="20"/>
  <c r="D71" i="20"/>
  <c r="E71" i="20"/>
  <c r="A72" i="20"/>
  <c r="C72" i="20"/>
  <c r="D72" i="20"/>
  <c r="E72" i="20"/>
  <c r="A73" i="20"/>
  <c r="C73" i="20"/>
  <c r="D73" i="20"/>
  <c r="E73" i="20"/>
  <c r="A74" i="20"/>
  <c r="C74" i="20"/>
  <c r="D74" i="20"/>
  <c r="E74" i="20"/>
  <c r="A75" i="20"/>
  <c r="C75" i="20"/>
  <c r="D75" i="20"/>
  <c r="E75" i="20"/>
  <c r="A76" i="20"/>
  <c r="C76" i="20"/>
  <c r="D76" i="20"/>
  <c r="E76" i="20"/>
  <c r="A77" i="20"/>
  <c r="C77" i="20"/>
  <c r="D77" i="20"/>
  <c r="E77" i="20"/>
  <c r="A78" i="20"/>
  <c r="C78" i="20"/>
  <c r="D78" i="20"/>
  <c r="E78" i="20"/>
  <c r="A79" i="20"/>
  <c r="C79" i="20"/>
  <c r="D79" i="20"/>
  <c r="E79" i="20"/>
  <c r="A80" i="20"/>
  <c r="C80" i="20"/>
  <c r="D80" i="20"/>
  <c r="E80" i="20"/>
  <c r="A81" i="20"/>
  <c r="C81" i="20"/>
  <c r="D81" i="20"/>
  <c r="E81" i="20"/>
  <c r="A82" i="20"/>
  <c r="C82" i="20"/>
  <c r="D82" i="20"/>
  <c r="E82" i="20"/>
  <c r="A83" i="20"/>
  <c r="C83" i="20"/>
  <c r="D83" i="20"/>
  <c r="E83" i="20"/>
  <c r="A84" i="20"/>
  <c r="C84" i="20"/>
  <c r="D84" i="20"/>
  <c r="E84" i="20"/>
  <c r="A85" i="20"/>
  <c r="C85" i="20"/>
  <c r="D85" i="20"/>
  <c r="E85" i="20"/>
  <c r="A86" i="20"/>
  <c r="C86" i="20"/>
  <c r="D86" i="20"/>
  <c r="A87" i="20"/>
  <c r="C87" i="20"/>
  <c r="D87" i="20"/>
  <c r="E87" i="20"/>
  <c r="A88" i="20"/>
  <c r="C88" i="20"/>
  <c r="D88" i="20"/>
  <c r="E88" i="20"/>
  <c r="A89" i="20"/>
  <c r="C89" i="20"/>
  <c r="D89" i="20"/>
  <c r="E89" i="20"/>
  <c r="A90" i="20"/>
  <c r="C90" i="20"/>
  <c r="D90" i="20"/>
  <c r="E90" i="20"/>
  <c r="A91" i="20"/>
  <c r="C91" i="20"/>
  <c r="D91" i="20"/>
  <c r="E91" i="20"/>
  <c r="A92" i="20"/>
  <c r="C92" i="20"/>
  <c r="D92" i="20"/>
  <c r="E92" i="20"/>
  <c r="A93" i="20"/>
  <c r="C93" i="20"/>
  <c r="D93" i="20"/>
  <c r="E93" i="20"/>
  <c r="A94" i="20"/>
  <c r="C94" i="20"/>
  <c r="D94" i="20"/>
  <c r="E94" i="20"/>
  <c r="A95" i="20"/>
  <c r="C95" i="20"/>
  <c r="D95" i="20"/>
  <c r="E95" i="20"/>
  <c r="A96" i="20"/>
  <c r="C96" i="20"/>
  <c r="D96" i="20"/>
  <c r="E96" i="20"/>
  <c r="A97" i="20"/>
  <c r="C97" i="20"/>
  <c r="D97" i="20"/>
  <c r="E97" i="20"/>
  <c r="A98" i="20"/>
  <c r="C98" i="20"/>
  <c r="D98" i="20"/>
  <c r="E98" i="20"/>
  <c r="A99" i="20"/>
  <c r="C99" i="20"/>
  <c r="D99" i="20"/>
  <c r="E99" i="20"/>
  <c r="A100" i="20"/>
  <c r="C100" i="20"/>
  <c r="D100" i="20"/>
  <c r="E100" i="20"/>
  <c r="A101" i="20"/>
  <c r="C101" i="20"/>
  <c r="D101" i="20"/>
  <c r="E101" i="20"/>
  <c r="A102" i="20"/>
  <c r="C102" i="20"/>
  <c r="D102" i="20"/>
  <c r="E102" i="20"/>
  <c r="A103" i="20"/>
  <c r="C103" i="20"/>
  <c r="D103" i="20"/>
  <c r="E103" i="20"/>
  <c r="A104" i="20"/>
  <c r="C104" i="20"/>
  <c r="D104" i="20"/>
  <c r="E104" i="20"/>
  <c r="A105" i="20"/>
  <c r="C105" i="20"/>
  <c r="D105" i="20"/>
  <c r="E105" i="20"/>
  <c r="A106" i="20"/>
  <c r="C106" i="20"/>
  <c r="D106" i="20"/>
  <c r="E106" i="20"/>
  <c r="A107" i="20"/>
  <c r="C107" i="20"/>
  <c r="D107" i="20"/>
  <c r="E107" i="20"/>
  <c r="A108" i="20"/>
  <c r="C108" i="20"/>
  <c r="D108" i="20"/>
  <c r="E108" i="20"/>
  <c r="A109" i="20"/>
  <c r="C109" i="20"/>
  <c r="D109" i="20"/>
  <c r="E109" i="20"/>
  <c r="A110" i="20"/>
  <c r="C110" i="20"/>
  <c r="D110" i="20"/>
  <c r="E110" i="20"/>
  <c r="A111" i="20"/>
  <c r="C111" i="20"/>
  <c r="D111" i="20"/>
  <c r="E111" i="20"/>
  <c r="A112" i="20"/>
  <c r="C112" i="20"/>
  <c r="D112" i="20"/>
  <c r="E112" i="20"/>
  <c r="A113" i="20"/>
  <c r="C113" i="20"/>
  <c r="D113" i="20"/>
  <c r="E113" i="20"/>
  <c r="A114" i="20"/>
  <c r="C114" i="20"/>
  <c r="D114" i="20"/>
  <c r="E114" i="20"/>
  <c r="A115" i="20"/>
  <c r="C115" i="20"/>
  <c r="D115" i="20"/>
  <c r="E115" i="20"/>
  <c r="A116" i="20"/>
  <c r="C116" i="20"/>
  <c r="D116" i="20"/>
  <c r="E116" i="20"/>
  <c r="A117" i="20"/>
  <c r="C117" i="20"/>
  <c r="D117" i="20"/>
  <c r="E117" i="20"/>
  <c r="A118" i="20"/>
  <c r="C118" i="20"/>
  <c r="D118" i="20"/>
  <c r="E118" i="20"/>
  <c r="A119" i="20"/>
  <c r="C119" i="20"/>
  <c r="D119" i="20"/>
  <c r="E119" i="20"/>
  <c r="A120" i="20"/>
  <c r="C120" i="20"/>
  <c r="D120" i="20"/>
  <c r="E120" i="20"/>
  <c r="A121" i="20"/>
  <c r="C121" i="20"/>
  <c r="D121" i="20"/>
  <c r="E121" i="20"/>
  <c r="A68" i="17"/>
  <c r="C68" i="17"/>
  <c r="D68" i="17"/>
  <c r="E68" i="17"/>
  <c r="A69" i="17"/>
  <c r="C69" i="17"/>
  <c r="D69" i="17"/>
  <c r="E69" i="17"/>
  <c r="A70" i="17"/>
  <c r="C70" i="17"/>
  <c r="D70" i="17"/>
  <c r="E70" i="17"/>
  <c r="A71" i="17"/>
  <c r="C71" i="17"/>
  <c r="D71" i="17"/>
  <c r="E71" i="17"/>
  <c r="A72" i="17"/>
  <c r="C72" i="17"/>
  <c r="D72" i="17"/>
  <c r="E72" i="17"/>
  <c r="A73" i="17"/>
  <c r="C73" i="17"/>
  <c r="D73" i="17"/>
  <c r="E73" i="17"/>
  <c r="A74" i="17"/>
  <c r="C74" i="17"/>
  <c r="D74" i="17"/>
  <c r="E74" i="17"/>
  <c r="A75" i="17"/>
  <c r="C75" i="17"/>
  <c r="D75" i="17"/>
  <c r="E75" i="17"/>
  <c r="A76" i="17"/>
  <c r="C76" i="17"/>
  <c r="D76" i="17"/>
  <c r="E76" i="17"/>
  <c r="A77" i="17"/>
  <c r="C77" i="17"/>
  <c r="D77" i="17"/>
  <c r="E77" i="17"/>
  <c r="A78" i="17"/>
  <c r="C78" i="17"/>
  <c r="D78" i="17"/>
  <c r="E78" i="17"/>
  <c r="A79" i="17"/>
  <c r="C79" i="17"/>
  <c r="D79" i="17"/>
  <c r="E79" i="17"/>
  <c r="A80" i="17"/>
  <c r="C80" i="17"/>
  <c r="D80" i="17"/>
  <c r="E80" i="17"/>
  <c r="A81" i="17"/>
  <c r="C81" i="17"/>
  <c r="D81" i="17"/>
  <c r="E81" i="17"/>
  <c r="A82" i="17"/>
  <c r="C82" i="17"/>
  <c r="D82" i="17"/>
  <c r="E82" i="17"/>
  <c r="A83" i="17"/>
  <c r="C83" i="17"/>
  <c r="D83" i="17"/>
  <c r="E83" i="17"/>
  <c r="A84" i="17"/>
  <c r="C84" i="17"/>
  <c r="D84" i="17"/>
  <c r="E84" i="17"/>
  <c r="A85" i="17"/>
  <c r="C85" i="17"/>
  <c r="D85" i="17"/>
  <c r="E85" i="17"/>
  <c r="A86" i="17"/>
  <c r="C86" i="17"/>
  <c r="D86" i="17"/>
  <c r="A87" i="17"/>
  <c r="C87" i="17"/>
  <c r="D87" i="17"/>
  <c r="E87" i="17"/>
  <c r="A88" i="17"/>
  <c r="C88" i="17"/>
  <c r="D88" i="17"/>
  <c r="E88" i="17"/>
  <c r="A89" i="17"/>
  <c r="C89" i="17"/>
  <c r="D89" i="17"/>
  <c r="E89" i="17"/>
  <c r="A90" i="17"/>
  <c r="C90" i="17"/>
  <c r="D90" i="17"/>
  <c r="E90" i="17"/>
  <c r="A91" i="17"/>
  <c r="C91" i="17"/>
  <c r="D91" i="17"/>
  <c r="E91" i="17"/>
  <c r="A92" i="17"/>
  <c r="C92" i="17"/>
  <c r="D92" i="17"/>
  <c r="E92" i="17"/>
  <c r="A93" i="17"/>
  <c r="C93" i="17"/>
  <c r="D93" i="17"/>
  <c r="E93" i="17"/>
  <c r="A94" i="17"/>
  <c r="C94" i="17"/>
  <c r="D94" i="17"/>
  <c r="E94" i="17"/>
  <c r="A95" i="17"/>
  <c r="C95" i="17"/>
  <c r="D95" i="17"/>
  <c r="E95" i="17"/>
  <c r="A96" i="17"/>
  <c r="C96" i="17"/>
  <c r="D96" i="17"/>
  <c r="E96" i="17"/>
  <c r="A97" i="17"/>
  <c r="C97" i="17"/>
  <c r="D97" i="17"/>
  <c r="E97" i="17"/>
  <c r="A98" i="17"/>
  <c r="C98" i="17"/>
  <c r="D98" i="17"/>
  <c r="E98" i="17"/>
  <c r="A99" i="17"/>
  <c r="C99" i="17"/>
  <c r="D99" i="17"/>
  <c r="E99" i="17"/>
  <c r="A100" i="17"/>
  <c r="C100" i="17"/>
  <c r="D100" i="17"/>
  <c r="E100" i="17"/>
  <c r="A101" i="17"/>
  <c r="C101" i="17"/>
  <c r="D101" i="17"/>
  <c r="E101" i="17"/>
  <c r="A102" i="17"/>
  <c r="C102" i="17"/>
  <c r="D102" i="17"/>
  <c r="E102" i="17"/>
  <c r="A103" i="17"/>
  <c r="C103" i="17"/>
  <c r="D103" i="17"/>
  <c r="E103" i="17"/>
  <c r="A104" i="17"/>
  <c r="C104" i="17"/>
  <c r="D104" i="17"/>
  <c r="E104" i="17"/>
  <c r="A105" i="17"/>
  <c r="C105" i="17"/>
  <c r="D105" i="17"/>
  <c r="E105" i="17"/>
  <c r="A106" i="17"/>
  <c r="C106" i="17"/>
  <c r="D106" i="17"/>
  <c r="E106" i="17"/>
  <c r="A107" i="17"/>
  <c r="C107" i="17"/>
  <c r="D107" i="17"/>
  <c r="E107" i="17"/>
  <c r="A108" i="17"/>
  <c r="C108" i="17"/>
  <c r="D108" i="17"/>
  <c r="E108" i="17"/>
  <c r="A109" i="17"/>
  <c r="C109" i="17"/>
  <c r="D109" i="17"/>
  <c r="E109" i="17"/>
  <c r="A110" i="17"/>
  <c r="C110" i="17"/>
  <c r="D110" i="17"/>
  <c r="E110" i="17"/>
  <c r="A111" i="17"/>
  <c r="C111" i="17"/>
  <c r="D111" i="17"/>
  <c r="E111" i="17"/>
  <c r="A112" i="17"/>
  <c r="C112" i="17"/>
  <c r="D112" i="17"/>
  <c r="E112" i="17"/>
  <c r="A113" i="17"/>
  <c r="C113" i="17"/>
  <c r="D113" i="17"/>
  <c r="E113" i="17"/>
  <c r="A114" i="17"/>
  <c r="C114" i="17"/>
  <c r="D114" i="17"/>
  <c r="E114" i="17"/>
  <c r="A115" i="17"/>
  <c r="C115" i="17"/>
  <c r="D115" i="17"/>
  <c r="E115" i="17"/>
  <c r="A116" i="17"/>
  <c r="C116" i="17"/>
  <c r="D116" i="17"/>
  <c r="E116" i="17"/>
  <c r="A117" i="17"/>
  <c r="C117" i="17"/>
  <c r="D117" i="17"/>
  <c r="E117" i="17"/>
  <c r="A118" i="17"/>
  <c r="C118" i="17"/>
  <c r="D118" i="17"/>
  <c r="E118" i="17"/>
  <c r="A119" i="17"/>
  <c r="C119" i="17"/>
  <c r="D119" i="17"/>
  <c r="E119" i="17"/>
  <c r="A120" i="17"/>
  <c r="C120" i="17"/>
  <c r="D120" i="17"/>
  <c r="E120" i="17"/>
  <c r="A121" i="17"/>
  <c r="C121" i="17"/>
  <c r="D121" i="17"/>
  <c r="E121" i="17"/>
  <c r="C54" i="8" l="1"/>
  <c r="C56" i="8" s="1"/>
  <c r="C54" i="9"/>
  <c r="C56" i="9" s="1"/>
  <c r="C54" i="10"/>
  <c r="C56" i="10" s="1"/>
  <c r="C54" i="11"/>
  <c r="C56" i="11" s="1"/>
  <c r="C54" i="12"/>
  <c r="C56" i="12" s="1"/>
  <c r="C54" i="13"/>
  <c r="C56" i="13" s="1"/>
  <c r="C54" i="15"/>
  <c r="C56" i="15" s="1"/>
  <c r="C54" i="16"/>
  <c r="C56" i="16" s="1"/>
  <c r="C54" i="17"/>
  <c r="C56" i="17" s="1"/>
  <c r="C54" i="18"/>
  <c r="C56" i="18" s="1"/>
  <c r="C54" i="20"/>
  <c r="C56" i="20" s="1"/>
  <c r="C54" i="7"/>
  <c r="C56" i="7" s="1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67" i="13"/>
  <c r="D67" i="13"/>
  <c r="C67" i="13"/>
  <c r="A67" i="13"/>
  <c r="E66" i="13"/>
  <c r="D66" i="13"/>
  <c r="C66" i="13"/>
  <c r="B66" i="13"/>
  <c r="A66" i="13"/>
  <c r="A65" i="13"/>
  <c r="A64" i="13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67" i="12"/>
  <c r="D67" i="12"/>
  <c r="C67" i="12"/>
  <c r="A67" i="12"/>
  <c r="E66" i="12"/>
  <c r="D66" i="12"/>
  <c r="C66" i="12"/>
  <c r="B66" i="12"/>
  <c r="A66" i="12"/>
  <c r="A65" i="12"/>
  <c r="A64" i="12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G12" i="19"/>
  <c r="G9" i="19"/>
  <c r="G12" i="18"/>
  <c r="G9" i="18"/>
  <c r="G12" i="17"/>
  <c r="G9" i="17"/>
  <c r="G12" i="16"/>
  <c r="G9" i="16"/>
  <c r="G12" i="15"/>
  <c r="G9" i="15"/>
  <c r="G12" i="13"/>
  <c r="G9" i="13"/>
  <c r="G12" i="14"/>
  <c r="G9" i="14"/>
  <c r="G12" i="12"/>
  <c r="G9" i="12"/>
  <c r="G12" i="11"/>
  <c r="G9" i="11"/>
  <c r="G12" i="10"/>
  <c r="G9" i="10"/>
  <c r="G12" i="9"/>
  <c r="G9" i="9"/>
  <c r="G12" i="8"/>
  <c r="G9" i="8"/>
  <c r="G12" i="7"/>
  <c r="G9" i="7"/>
  <c r="I8" i="7"/>
  <c r="G8" i="7"/>
  <c r="AA19" i="22"/>
  <c r="Z19" i="22"/>
  <c r="Y19" i="22"/>
  <c r="X19" i="22"/>
  <c r="W19" i="22"/>
  <c r="V19" i="22"/>
  <c r="U19" i="22"/>
  <c r="T19" i="22"/>
  <c r="S19" i="22"/>
  <c r="R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E56" i="20"/>
  <c r="I56" i="20" s="1"/>
  <c r="H33" i="20"/>
  <c r="H32" i="20"/>
  <c r="H31" i="20"/>
  <c r="H30" i="20"/>
  <c r="I7" i="20"/>
  <c r="G7" i="20"/>
  <c r="I6" i="20"/>
  <c r="G6" i="20"/>
  <c r="G5" i="20"/>
  <c r="G4" i="20"/>
  <c r="G3" i="20"/>
  <c r="C54" i="19"/>
  <c r="H33" i="19"/>
  <c r="H32" i="19"/>
  <c r="H31" i="19"/>
  <c r="H30" i="19"/>
  <c r="I7" i="19"/>
  <c r="G7" i="19"/>
  <c r="I6" i="19"/>
  <c r="G6" i="19"/>
  <c r="G5" i="19"/>
  <c r="G4" i="19"/>
  <c r="G3" i="19"/>
  <c r="E56" i="18"/>
  <c r="I56" i="18" s="1"/>
  <c r="H33" i="18"/>
  <c r="H32" i="18"/>
  <c r="H31" i="18"/>
  <c r="H30" i="18"/>
  <c r="I7" i="18"/>
  <c r="G7" i="18"/>
  <c r="I6" i="18"/>
  <c r="G6" i="18"/>
  <c r="G5" i="18"/>
  <c r="G4" i="18"/>
  <c r="G3" i="18"/>
  <c r="E56" i="17"/>
  <c r="I56" i="17" s="1"/>
  <c r="H33" i="17"/>
  <c r="H32" i="17"/>
  <c r="H31" i="17"/>
  <c r="H30" i="17"/>
  <c r="I7" i="17"/>
  <c r="G7" i="17"/>
  <c r="I6" i="17"/>
  <c r="G6" i="17"/>
  <c r="G5" i="17"/>
  <c r="G4" i="17"/>
  <c r="G3" i="17"/>
  <c r="E56" i="16"/>
  <c r="I56" i="16" s="1"/>
  <c r="H33" i="16"/>
  <c r="H32" i="16"/>
  <c r="H31" i="16"/>
  <c r="H30" i="16"/>
  <c r="I7" i="16"/>
  <c r="G7" i="16"/>
  <c r="I6" i="16"/>
  <c r="G6" i="16"/>
  <c r="G5" i="16"/>
  <c r="G4" i="16"/>
  <c r="G3" i="16"/>
  <c r="E56" i="15"/>
  <c r="I56" i="15" s="1"/>
  <c r="H33" i="15"/>
  <c r="H32" i="15"/>
  <c r="H31" i="15"/>
  <c r="H30" i="15"/>
  <c r="I7" i="15"/>
  <c r="G7" i="15"/>
  <c r="I6" i="15"/>
  <c r="G6" i="15"/>
  <c r="G5" i="15"/>
  <c r="G4" i="15"/>
  <c r="G3" i="15"/>
  <c r="E56" i="13"/>
  <c r="I56" i="13" s="1"/>
  <c r="H33" i="13"/>
  <c r="H32" i="13"/>
  <c r="H31" i="13"/>
  <c r="H30" i="13"/>
  <c r="I7" i="13"/>
  <c r="G7" i="13"/>
  <c r="I6" i="13"/>
  <c r="G6" i="13"/>
  <c r="G5" i="13"/>
  <c r="G4" i="13"/>
  <c r="G3" i="13"/>
  <c r="H33" i="14"/>
  <c r="H32" i="14"/>
  <c r="H31" i="14"/>
  <c r="I7" i="14"/>
  <c r="G7" i="14"/>
  <c r="I6" i="14"/>
  <c r="G6" i="14"/>
  <c r="G5" i="14"/>
  <c r="G4" i="14"/>
  <c r="G3" i="14"/>
  <c r="E56" i="12"/>
  <c r="I56" i="12" s="1"/>
  <c r="H33" i="12"/>
  <c r="H32" i="12"/>
  <c r="H31" i="12"/>
  <c r="H30" i="12"/>
  <c r="I7" i="12"/>
  <c r="G7" i="12"/>
  <c r="I6" i="12"/>
  <c r="G6" i="12"/>
  <c r="G5" i="12"/>
  <c r="G4" i="12"/>
  <c r="G3" i="12"/>
  <c r="E56" i="11"/>
  <c r="I56" i="11" s="1"/>
  <c r="H33" i="11"/>
  <c r="H32" i="11"/>
  <c r="H31" i="11"/>
  <c r="I7" i="11"/>
  <c r="G7" i="11"/>
  <c r="I6" i="11"/>
  <c r="G6" i="11"/>
  <c r="G5" i="11"/>
  <c r="G4" i="11"/>
  <c r="G3" i="11"/>
  <c r="E56" i="10"/>
  <c r="I56" i="10" s="1"/>
  <c r="H33" i="10"/>
  <c r="H32" i="10"/>
  <c r="H31" i="10"/>
  <c r="H30" i="10"/>
  <c r="I7" i="10"/>
  <c r="G7" i="10"/>
  <c r="I6" i="10"/>
  <c r="G6" i="10"/>
  <c r="G5" i="10"/>
  <c r="G4" i="10"/>
  <c r="G3" i="10"/>
  <c r="E56" i="9"/>
  <c r="I56" i="9" s="1"/>
  <c r="H33" i="9"/>
  <c r="H32" i="9"/>
  <c r="H31" i="9"/>
  <c r="H30" i="9"/>
  <c r="I7" i="9"/>
  <c r="G7" i="9"/>
  <c r="I6" i="9"/>
  <c r="G6" i="9"/>
  <c r="G5" i="9"/>
  <c r="G4" i="9"/>
  <c r="G3" i="9"/>
  <c r="E56" i="8"/>
  <c r="I56" i="8" s="1"/>
  <c r="H33" i="8"/>
  <c r="H32" i="8"/>
  <c r="H31" i="8"/>
  <c r="H30" i="8"/>
  <c r="I7" i="8"/>
  <c r="G7" i="8"/>
  <c r="I6" i="8"/>
  <c r="G6" i="8"/>
  <c r="G5" i="8"/>
  <c r="G4" i="8"/>
  <c r="G3" i="8"/>
  <c r="E56" i="7"/>
  <c r="I56" i="7" s="1"/>
  <c r="H33" i="7"/>
  <c r="H32" i="7"/>
  <c r="H31" i="7"/>
  <c r="H30" i="7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H12" i="7" l="1"/>
  <c r="E12" i="7"/>
  <c r="C12" i="7"/>
  <c r="B12" i="7"/>
  <c r="A12" i="7"/>
  <c r="D12" i="7"/>
  <c r="A16" i="7"/>
  <c r="A16" i="8" s="1"/>
  <c r="A16" i="9" s="1"/>
  <c r="A16" i="10" s="1"/>
  <c r="A16" i="11" s="1"/>
  <c r="A16" i="12" s="1"/>
  <c r="D16" i="7"/>
  <c r="D16" i="8" s="1"/>
  <c r="D16" i="9" s="1"/>
  <c r="D16" i="10" s="1"/>
  <c r="D16" i="11" s="1"/>
  <c r="D16" i="12" s="1"/>
  <c r="G28" i="20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5" i="20"/>
  <c r="I36" i="20"/>
  <c r="S55" i="20"/>
  <c r="T55" i="20" s="1"/>
  <c r="K50" i="20"/>
  <c r="G14" i="20" s="1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D16" i="13"/>
  <c r="D16" i="15" s="1"/>
  <c r="A16" i="13"/>
  <c r="A16" i="15" s="1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2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D16" i="16"/>
  <c r="D16" i="17" s="1"/>
  <c r="D16" i="18" s="1"/>
  <c r="D16" i="20" s="1"/>
  <c r="G16" i="20" s="1"/>
  <c r="C16" i="13"/>
  <c r="A16" i="16"/>
  <c r="A16" i="17" s="1"/>
  <c r="A16" i="18" s="1"/>
  <c r="A16" i="20" s="1"/>
  <c r="C16" i="20" s="1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H19" i="18"/>
  <c r="I19" i="18" s="1"/>
  <c r="H20" i="18"/>
  <c r="I20" i="18" s="1"/>
  <c r="H21" i="18"/>
  <c r="I21" i="18" s="1"/>
  <c r="I29" i="18" l="1"/>
  <c r="I35" i="17"/>
  <c r="I29" i="17"/>
  <c r="G32" i="17" l="1"/>
  <c r="I32" i="17" s="1"/>
  <c r="H37" i="17"/>
  <c r="D55" i="21" s="1"/>
  <c r="G32" i="18"/>
  <c r="H37" i="18"/>
  <c r="H20" i="20"/>
  <c r="I20" i="20" s="1"/>
  <c r="H21" i="20"/>
  <c r="I21" i="20" s="1"/>
  <c r="H22" i="20"/>
  <c r="I22" i="20" s="1"/>
  <c r="H23" i="20"/>
  <c r="I23" i="20" s="1"/>
  <c r="H19" i="20"/>
  <c r="I19" i="20" s="1"/>
  <c r="G30" i="18"/>
  <c r="B87" i="21"/>
  <c r="E87" i="21" s="1"/>
  <c r="I34" i="18"/>
  <c r="I32" i="18"/>
  <c r="G31" i="18"/>
  <c r="I31" i="18" s="1"/>
  <c r="H48" i="18"/>
  <c r="C49" i="18" s="1"/>
  <c r="D49" i="18" s="1"/>
  <c r="H45" i="18"/>
  <c r="H41" i="18"/>
  <c r="O87" i="21" s="1"/>
  <c r="H40" i="18"/>
  <c r="M87" i="21" s="1"/>
  <c r="G30" i="17"/>
  <c r="B86" i="21"/>
  <c r="H45" i="17"/>
  <c r="G31" i="17"/>
  <c r="I31" i="17" s="1"/>
  <c r="I34" i="17"/>
  <c r="H41" i="17"/>
  <c r="O86" i="21" s="1"/>
  <c r="H40" i="17"/>
  <c r="M86" i="21" s="1"/>
  <c r="H48" i="17"/>
  <c r="C49" i="17" s="1"/>
  <c r="D49" i="17" s="1"/>
  <c r="I30" i="18" l="1"/>
  <c r="G33" i="18"/>
  <c r="I33" i="18" s="1"/>
  <c r="D56" i="21"/>
  <c r="G51" i="17"/>
  <c r="I48" i="17"/>
  <c r="M55" i="21" s="1"/>
  <c r="E51" i="18"/>
  <c r="E51" i="17"/>
  <c r="E86" i="21"/>
  <c r="G33" i="17"/>
  <c r="I33" i="17" s="1"/>
  <c r="I30" i="17"/>
  <c r="G51" i="18" l="1"/>
  <c r="H38" i="17"/>
  <c r="H38" i="18"/>
  <c r="I87" i="21" s="1"/>
  <c r="U47" i="18" l="1"/>
  <c r="G26" i="21"/>
  <c r="E26" i="21" s="1"/>
  <c r="U45" i="18"/>
  <c r="U44" i="18"/>
  <c r="U46" i="18"/>
  <c r="U48" i="18"/>
  <c r="U49" i="18"/>
  <c r="H54" i="9"/>
  <c r="H54" i="8"/>
  <c r="H54" i="18"/>
  <c r="H54" i="17"/>
  <c r="H54" i="11"/>
  <c r="H54" i="7"/>
  <c r="H54" i="16"/>
  <c r="H54" i="13"/>
  <c r="H54" i="10"/>
  <c r="H54" i="20"/>
  <c r="H54" i="15"/>
  <c r="H54" i="12"/>
  <c r="B105" i="21"/>
  <c r="E105" i="21"/>
  <c r="I86" i="21"/>
  <c r="U49" i="17"/>
  <c r="U48" i="17"/>
  <c r="G25" i="21"/>
  <c r="U46" i="17"/>
  <c r="U44" i="17"/>
  <c r="U47" i="17"/>
  <c r="U45" i="17"/>
  <c r="B26" i="21" l="1"/>
  <c r="U50" i="18"/>
  <c r="H39" i="18" s="1"/>
  <c r="I57" i="18" s="1"/>
  <c r="E54" i="18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K87" i="21" l="1"/>
  <c r="I42" i="18"/>
  <c r="Q87" i="21" s="1"/>
  <c r="C51" i="17"/>
  <c r="K86" i="21"/>
  <c r="I42" i="17"/>
  <c r="I25" i="21"/>
  <c r="K25" i="21" l="1"/>
  <c r="L25" i="21" s="1"/>
  <c r="M25" i="21" s="1"/>
  <c r="C51" i="18"/>
  <c r="D51" i="17"/>
  <c r="I26" i="21"/>
  <c r="Q86" i="21"/>
  <c r="K26" i="21" l="1"/>
  <c r="L26" i="21" s="1"/>
  <c r="M26" i="21" s="1"/>
  <c r="D51" i="18"/>
  <c r="H51" i="17"/>
  <c r="C52" i="8" l="1"/>
  <c r="C52" i="15"/>
  <c r="C52" i="13"/>
  <c r="C52" i="9"/>
  <c r="C52" i="7"/>
  <c r="C52" i="12"/>
  <c r="C52" i="10"/>
  <c r="C52" i="16"/>
  <c r="C52" i="18"/>
  <c r="C52" i="17"/>
  <c r="C52" i="11"/>
  <c r="H51" i="18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H52" i="17" s="1"/>
  <c r="I52" i="17" s="1"/>
  <c r="G52" i="11"/>
  <c r="G52" i="7"/>
  <c r="H52" i="18" l="1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8"/>
  <c r="I56" i="21" s="1"/>
  <c r="I45" i="17"/>
  <c r="I49" i="18"/>
  <c r="I53" i="17" l="1"/>
  <c r="I55" i="21"/>
  <c r="I59" i="17" l="1"/>
  <c r="I59" i="18" l="1"/>
  <c r="I8" i="8" l="1"/>
  <c r="I8" i="9" l="1"/>
  <c r="I8" i="10" l="1"/>
  <c r="I8" i="14"/>
  <c r="I8" i="11"/>
  <c r="I8" i="12"/>
  <c r="I8" i="13" l="1"/>
  <c r="I8" i="15" l="1"/>
  <c r="I8" i="16" l="1"/>
  <c r="I8" i="17" l="1"/>
  <c r="I8" i="18" l="1"/>
  <c r="I8" i="19" l="1"/>
  <c r="H19" i="19" l="1"/>
  <c r="I19" i="19" s="1"/>
  <c r="I29" i="19" s="1"/>
  <c r="I8" i="20"/>
  <c r="G32" i="19" l="1"/>
  <c r="I32" i="19" s="1"/>
  <c r="H37" i="19"/>
  <c r="I48" i="18"/>
  <c r="I34" i="19"/>
  <c r="H40" i="19"/>
  <c r="M88" i="21" s="1"/>
  <c r="D57" i="21"/>
  <c r="B88" i="21"/>
  <c r="E88" i="21" s="1"/>
  <c r="G30" i="19"/>
  <c r="G31" i="19"/>
  <c r="I31" i="19" s="1"/>
  <c r="E51" i="19"/>
  <c r="G51" i="19"/>
  <c r="C51" i="19"/>
  <c r="D51" i="19"/>
  <c r="H51" i="19"/>
  <c r="I59" i="19"/>
  <c r="M56" i="21" l="1"/>
  <c r="I53" i="18"/>
  <c r="G33" i="19"/>
  <c r="I33" i="19" s="1"/>
  <c r="I30" i="19"/>
  <c r="H38" i="19" l="1"/>
  <c r="U49" i="19" l="1"/>
  <c r="U46" i="19"/>
  <c r="U45" i="19"/>
  <c r="I88" i="21"/>
  <c r="E106" i="21" s="1"/>
  <c r="U47" i="19"/>
  <c r="G27" i="21"/>
  <c r="U44" i="19"/>
  <c r="U48" i="19"/>
  <c r="U50" i="19" l="1"/>
  <c r="H39" i="19" s="1"/>
  <c r="I27" i="21"/>
  <c r="K27" i="21" s="1"/>
  <c r="E27" i="21"/>
  <c r="M27" i="21"/>
  <c r="K88" i="21" l="1"/>
  <c r="I42" i="19"/>
  <c r="Q88" i="21" l="1"/>
  <c r="I53" i="19"/>
  <c r="Q19" i="22" l="1"/>
  <c r="P18" i="22"/>
  <c r="P12" i="22"/>
  <c r="Q9" i="22"/>
  <c r="Q16" i="22"/>
  <c r="Q17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Q10" i="22"/>
  <c r="Q18" i="22"/>
  <c r="Q14" i="22"/>
  <c r="Q6" i="22"/>
  <c r="Q15" i="22"/>
  <c r="Q7" i="22"/>
  <c r="Q13" i="22"/>
  <c r="Q11" i="22" l="1"/>
  <c r="E86" i="11"/>
  <c r="E86" i="14"/>
  <c r="E86" i="7"/>
  <c r="E86" i="8"/>
  <c r="E86" i="9"/>
  <c r="E86" i="10"/>
  <c r="E86" i="12"/>
  <c r="E86" i="13"/>
  <c r="E86" i="15"/>
  <c r="E86" i="16"/>
  <c r="G25" i="16" s="1"/>
  <c r="E86" i="18"/>
  <c r="E86" i="19"/>
  <c r="E86" i="20"/>
  <c r="E86" i="17"/>
  <c r="I14" i="7"/>
  <c r="P15" i="22"/>
  <c r="P6" i="22"/>
  <c r="P13" i="22"/>
  <c r="P17" i="22"/>
  <c r="P9" i="22"/>
  <c r="P10" i="22"/>
  <c r="P16" i="22"/>
  <c r="P7" i="22"/>
  <c r="P14" i="22"/>
  <c r="P19" i="22"/>
  <c r="Q8" i="22"/>
  <c r="P8" i="22"/>
  <c r="Q5" i="22"/>
  <c r="D14" i="7" l="1"/>
  <c r="C14" i="7"/>
  <c r="H19" i="7" s="1"/>
  <c r="I19" i="7" s="1"/>
  <c r="I29" i="7" s="1"/>
  <c r="Q12" i="22"/>
  <c r="N10" i="22"/>
  <c r="N13" i="22"/>
  <c r="N18" i="22"/>
  <c r="N14" i="22"/>
  <c r="N11" i="22"/>
  <c r="N9" i="22"/>
  <c r="N16" i="22"/>
  <c r="N12" i="22"/>
  <c r="N8" i="22"/>
  <c r="N6" i="22"/>
  <c r="N17" i="22"/>
  <c r="N7" i="22"/>
  <c r="N15" i="22"/>
  <c r="N19" i="22"/>
  <c r="P5" i="22"/>
  <c r="N5" i="22"/>
  <c r="O5" i="22"/>
  <c r="G32" i="7" l="1"/>
  <c r="I32" i="7" s="1"/>
  <c r="H37" i="7"/>
  <c r="D45" i="21" s="1"/>
  <c r="E45" i="21" s="1"/>
  <c r="P11" i="22"/>
  <c r="B76" i="21"/>
  <c r="I34" i="7"/>
  <c r="G31" i="7"/>
  <c r="I31" i="7" s="1"/>
  <c r="H48" i="7"/>
  <c r="N40" i="21" s="1"/>
  <c r="R40" i="21" s="1"/>
  <c r="H45" i="7"/>
  <c r="J40" i="21" s="1"/>
  <c r="H41" i="7"/>
  <c r="O76" i="21" s="1"/>
  <c r="P76" i="21" s="1"/>
  <c r="G51" i="7" s="1"/>
  <c r="G30" i="7"/>
  <c r="H40" i="7"/>
  <c r="M76" i="21" s="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G32" i="16" l="1"/>
  <c r="H37" i="16"/>
  <c r="H48" i="16"/>
  <c r="C49" i="16" s="1"/>
  <c r="D49" i="16" s="1"/>
  <c r="I49" i="16" s="1"/>
  <c r="Q54" i="21" s="1"/>
  <c r="H40" i="16"/>
  <c r="M85" i="21" s="1"/>
  <c r="H41" i="16"/>
  <c r="O85" i="21" s="1"/>
  <c r="B85" i="21"/>
  <c r="G30" i="16"/>
  <c r="D54" i="21"/>
  <c r="I32" i="16"/>
  <c r="I34" i="16"/>
  <c r="G31" i="16"/>
  <c r="I31" i="16" s="1"/>
  <c r="H45" i="16"/>
  <c r="I45" i="16" s="1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G8" i="8" l="1"/>
  <c r="B12" i="8" l="1"/>
  <c r="E12" i="8"/>
  <c r="C12" i="8"/>
  <c r="H12" i="8"/>
  <c r="D12" i="8"/>
  <c r="A12" i="8"/>
  <c r="G8" i="9"/>
  <c r="D12" i="9" l="1"/>
  <c r="C12" i="9"/>
  <c r="H12" i="9"/>
  <c r="B12" i="9"/>
  <c r="A12" i="9"/>
  <c r="E12" i="9"/>
  <c r="I14" i="8"/>
  <c r="G8" i="11" l="1"/>
  <c r="G8" i="14"/>
  <c r="G8" i="10"/>
  <c r="I14" i="9"/>
  <c r="D14" i="8"/>
  <c r="C14" i="8"/>
  <c r="H19" i="8" s="1"/>
  <c r="I19" i="8" s="1"/>
  <c r="I29" i="8" s="1"/>
  <c r="H37" i="8" s="1"/>
  <c r="G8" i="12"/>
  <c r="H12" i="10" l="1"/>
  <c r="E12" i="10"/>
  <c r="D12" i="10"/>
  <c r="B12" i="10"/>
  <c r="C12" i="10"/>
  <c r="A12" i="10"/>
  <c r="D12" i="14"/>
  <c r="C12" i="14"/>
  <c r="H12" i="14"/>
  <c r="B12" i="14"/>
  <c r="E12" i="14"/>
  <c r="A12" i="14"/>
  <c r="C12" i="12"/>
  <c r="B12" i="12"/>
  <c r="A12" i="12"/>
  <c r="H12" i="12"/>
  <c r="E12" i="12"/>
  <c r="D12" i="12"/>
  <c r="A12" i="11"/>
  <c r="H12" i="11"/>
  <c r="C12" i="11"/>
  <c r="B12" i="11"/>
  <c r="E12" i="11"/>
  <c r="D12" i="11"/>
  <c r="G32" i="8"/>
  <c r="I32" i="8" s="1"/>
  <c r="H40" i="8"/>
  <c r="M77" i="21" s="1"/>
  <c r="N77" i="21" s="1"/>
  <c r="E51" i="8" s="1"/>
  <c r="H45" i="8"/>
  <c r="I45" i="8" s="1"/>
  <c r="I46" i="21" s="1"/>
  <c r="J46" i="21" s="1"/>
  <c r="B77" i="21"/>
  <c r="D46" i="21"/>
  <c r="E46" i="21" s="1"/>
  <c r="G31" i="8"/>
  <c r="I31" i="8" s="1"/>
  <c r="I34" i="8"/>
  <c r="G30" i="8"/>
  <c r="H48" i="8"/>
  <c r="I48" i="8" s="1"/>
  <c r="M46" i="21" s="1"/>
  <c r="N46" i="21" s="1"/>
  <c r="H41" i="8"/>
  <c r="O77" i="21" s="1"/>
  <c r="P77" i="21" s="1"/>
  <c r="G51" i="8" s="1"/>
  <c r="D14" i="9"/>
  <c r="C14" i="9"/>
  <c r="H19" i="9" s="1"/>
  <c r="I19" i="9" s="1"/>
  <c r="I29" i="9" s="1"/>
  <c r="H37" i="9" s="1"/>
  <c r="G8" i="13" l="1"/>
  <c r="I14" i="12"/>
  <c r="G32" i="9"/>
  <c r="I32" i="9" s="1"/>
  <c r="I34" i="9"/>
  <c r="H41" i="9"/>
  <c r="O78" i="21" s="1"/>
  <c r="P78" i="21" s="1"/>
  <c r="G51" i="9" s="1"/>
  <c r="G31" i="9"/>
  <c r="I31" i="9" s="1"/>
  <c r="H40" i="9"/>
  <c r="M78" i="21" s="1"/>
  <c r="N78" i="21" s="1"/>
  <c r="H45" i="9"/>
  <c r="I45" i="9" s="1"/>
  <c r="I47" i="21" s="1"/>
  <c r="J47" i="21" s="1"/>
  <c r="G30" i="9"/>
  <c r="D47" i="21"/>
  <c r="E47" i="21" s="1"/>
  <c r="H48" i="9"/>
  <c r="C49" i="9" s="1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H12" i="13"/>
  <c r="E12" i="13"/>
  <c r="D12" i="13"/>
  <c r="C12" i="13"/>
  <c r="B12" i="13"/>
  <c r="A12" i="13"/>
  <c r="G8" i="15"/>
  <c r="F78" i="21"/>
  <c r="D78" i="21"/>
  <c r="H38" i="8"/>
  <c r="C14" i="12"/>
  <c r="H19" i="12" s="1"/>
  <c r="I19" i="12" s="1"/>
  <c r="I29" i="12" s="1"/>
  <c r="H37" i="12" s="1"/>
  <c r="D14" i="12"/>
  <c r="C14" i="14"/>
  <c r="H19" i="14" s="1"/>
  <c r="I19" i="14" s="1"/>
  <c r="I29" i="14" s="1"/>
  <c r="H37" i="14" s="1"/>
  <c r="D14" i="14"/>
  <c r="I30" i="9"/>
  <c r="G33" i="9"/>
  <c r="I33" i="9" s="1"/>
  <c r="D14" i="10"/>
  <c r="C14" i="10"/>
  <c r="H19" i="10" s="1"/>
  <c r="I19" i="10" s="1"/>
  <c r="I29" i="10" s="1"/>
  <c r="H37" i="10" s="1"/>
  <c r="C14" i="11"/>
  <c r="H19" i="11" s="1"/>
  <c r="I19" i="11" s="1"/>
  <c r="I29" i="11" s="1"/>
  <c r="H37" i="11" s="1"/>
  <c r="D14" i="11"/>
  <c r="I14" i="13" l="1"/>
  <c r="C14" i="13" s="1"/>
  <c r="H19" i="13" s="1"/>
  <c r="I19" i="13" s="1"/>
  <c r="I29" i="13" s="1"/>
  <c r="H37" i="13" s="1"/>
  <c r="A12" i="15"/>
  <c r="H12" i="15"/>
  <c r="D12" i="15"/>
  <c r="C12" i="15"/>
  <c r="B12" i="15"/>
  <c r="E12" i="15"/>
  <c r="G8" i="16"/>
  <c r="H38" i="9"/>
  <c r="G30" i="14"/>
  <c r="D51" i="14"/>
  <c r="I59" i="14"/>
  <c r="G31" i="14"/>
  <c r="I31" i="14" s="1"/>
  <c r="H51" i="14"/>
  <c r="H40" i="14"/>
  <c r="M82" i="21" s="1"/>
  <c r="G51" i="14"/>
  <c r="I34" i="14"/>
  <c r="E51" i="14"/>
  <c r="B82" i="21"/>
  <c r="E82" i="21" s="1"/>
  <c r="G32" i="14"/>
  <c r="I32" i="14" s="1"/>
  <c r="D51" i="21"/>
  <c r="C51" i="14"/>
  <c r="H51" i="12"/>
  <c r="I48" i="12"/>
  <c r="M50" i="21" s="1"/>
  <c r="G31" i="12"/>
  <c r="I31" i="12" s="1"/>
  <c r="D50" i="21"/>
  <c r="G30" i="12"/>
  <c r="E51" i="12"/>
  <c r="I45" i="12"/>
  <c r="I50" i="21" s="1"/>
  <c r="H45" i="12"/>
  <c r="H40" i="12"/>
  <c r="M81" i="21" s="1"/>
  <c r="I34" i="12"/>
  <c r="H41" i="12"/>
  <c r="O81" i="21" s="1"/>
  <c r="C51" i="12"/>
  <c r="G51" i="12"/>
  <c r="B81" i="21"/>
  <c r="E81" i="21" s="1"/>
  <c r="H48" i="12"/>
  <c r="C49" i="12" s="1"/>
  <c r="D49" i="12" s="1"/>
  <c r="I49" i="12" s="1"/>
  <c r="Q50" i="21" s="1"/>
  <c r="D51" i="12"/>
  <c r="G32" i="12"/>
  <c r="I32" i="12" s="1"/>
  <c r="I59" i="12"/>
  <c r="G32" i="10"/>
  <c r="I32" i="10" s="1"/>
  <c r="H48" i="10"/>
  <c r="C49" i="10" s="1"/>
  <c r="D49" i="10" s="1"/>
  <c r="I49" i="10" s="1"/>
  <c r="Q48" i="21" s="1"/>
  <c r="R48" i="21" s="1"/>
  <c r="H40" i="10"/>
  <c r="M79" i="21" s="1"/>
  <c r="N79" i="21" s="1"/>
  <c r="E51" i="10" s="1"/>
  <c r="I48" i="10"/>
  <c r="M48" i="21" s="1"/>
  <c r="N48" i="21" s="1"/>
  <c r="H45" i="10"/>
  <c r="I45" i="10" s="1"/>
  <c r="I48" i="21" s="1"/>
  <c r="J48" i="21" s="1"/>
  <c r="G30" i="10"/>
  <c r="B79" i="21"/>
  <c r="I34" i="10"/>
  <c r="H41" i="10"/>
  <c r="O79" i="21" s="1"/>
  <c r="P79" i="21" s="1"/>
  <c r="G51" i="10" s="1"/>
  <c r="D48" i="21"/>
  <c r="E48" i="21" s="1"/>
  <c r="G31" i="10"/>
  <c r="I31" i="10" s="1"/>
  <c r="G30" i="11"/>
  <c r="H45" i="11"/>
  <c r="I45" i="11" s="1"/>
  <c r="I49" i="21" s="1"/>
  <c r="D49" i="21"/>
  <c r="H41" i="11"/>
  <c r="O80" i="21" s="1"/>
  <c r="H48" i="11"/>
  <c r="C49" i="11" s="1"/>
  <c r="D49" i="11" s="1"/>
  <c r="I49" i="11" s="1"/>
  <c r="Q49" i="21" s="1"/>
  <c r="H40" i="11"/>
  <c r="M80" i="21" s="1"/>
  <c r="G31" i="11"/>
  <c r="I31" i="11" s="1"/>
  <c r="G32" i="11"/>
  <c r="I32" i="11" s="1"/>
  <c r="B80" i="21"/>
  <c r="E80" i="21" s="1"/>
  <c r="I34" i="11"/>
  <c r="U46" i="8"/>
  <c r="U48" i="8"/>
  <c r="U44" i="8"/>
  <c r="U49" i="8"/>
  <c r="G16" i="21"/>
  <c r="I77" i="21"/>
  <c r="U45" i="8"/>
  <c r="U47" i="8"/>
  <c r="D14" i="13" l="1"/>
  <c r="I48" i="11"/>
  <c r="M49" i="21" s="1"/>
  <c r="N49" i="21" s="1"/>
  <c r="N50" i="21" s="1"/>
  <c r="N51" i="21" s="1"/>
  <c r="G8" i="17"/>
  <c r="B12" i="16"/>
  <c r="A12" i="16"/>
  <c r="H12" i="16"/>
  <c r="E12" i="16"/>
  <c r="D12" i="16"/>
  <c r="C12" i="16"/>
  <c r="G32" i="13"/>
  <c r="I32" i="13" s="1"/>
  <c r="D52" i="21"/>
  <c r="G30" i="13"/>
  <c r="H41" i="13"/>
  <c r="O83" i="21" s="1"/>
  <c r="G31" i="13"/>
  <c r="I31" i="13" s="1"/>
  <c r="H40" i="13"/>
  <c r="M83" i="21" s="1"/>
  <c r="I34" i="13"/>
  <c r="H48" i="13"/>
  <c r="C49" i="13" s="1"/>
  <c r="D49" i="13" s="1"/>
  <c r="I49" i="13" s="1"/>
  <c r="Q52" i="21" s="1"/>
  <c r="B83" i="21"/>
  <c r="E83" i="21" s="1"/>
  <c r="H45" i="13"/>
  <c r="I45" i="13" s="1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H37" i="15" s="1"/>
  <c r="I30" i="13"/>
  <c r="G33" i="13"/>
  <c r="I33" i="13" s="1"/>
  <c r="I14" i="16"/>
  <c r="G8" i="18"/>
  <c r="D12" i="17"/>
  <c r="C12" i="17"/>
  <c r="H12" i="17"/>
  <c r="B12" i="17"/>
  <c r="A12" i="17"/>
  <c r="E12" i="17"/>
  <c r="J78" i="21"/>
  <c r="C51" i="9" s="1"/>
  <c r="U50" i="9"/>
  <c r="H39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I42" i="9" l="1"/>
  <c r="Q78" i="21" s="1"/>
  <c r="I57" i="9"/>
  <c r="N16" i="21"/>
  <c r="I17" i="21"/>
  <c r="K17" i="21" s="1"/>
  <c r="L17" i="21" s="1"/>
  <c r="M17" i="21" s="1"/>
  <c r="H38" i="13"/>
  <c r="G8" i="19"/>
  <c r="G8" i="20"/>
  <c r="I14" i="17"/>
  <c r="H12" i="18"/>
  <c r="E12" i="18"/>
  <c r="D12" i="18"/>
  <c r="B12" i="18"/>
  <c r="A12" i="18"/>
  <c r="C12" i="18"/>
  <c r="G32" i="15"/>
  <c r="I32" i="15" s="1"/>
  <c r="G30" i="15"/>
  <c r="D53" i="21"/>
  <c r="E53" i="21" s="1"/>
  <c r="E54" i="21" s="1"/>
  <c r="E55" i="21" s="1"/>
  <c r="E56" i="21" s="1"/>
  <c r="E57" i="21" s="1"/>
  <c r="H45" i="15"/>
  <c r="I45" i="15" s="1"/>
  <c r="I53" i="21" s="1"/>
  <c r="J53" i="21" s="1"/>
  <c r="J54" i="21" s="1"/>
  <c r="J55" i="21" s="1"/>
  <c r="J56" i="21" s="1"/>
  <c r="G31" i="15"/>
  <c r="I31" i="15" s="1"/>
  <c r="H48" i="15"/>
  <c r="C49" i="15" s="1"/>
  <c r="D49" i="15" s="1"/>
  <c r="I49" i="15" s="1"/>
  <c r="Q53" i="21" s="1"/>
  <c r="R53" i="21" s="1"/>
  <c r="R54" i="21" s="1"/>
  <c r="R55" i="21" s="1"/>
  <c r="Q56" i="21" s="1"/>
  <c r="R56" i="21" s="1"/>
  <c r="H40" i="15"/>
  <c r="M84" i="21" s="1"/>
  <c r="N84" i="21" s="1"/>
  <c r="N85" i="21" s="1"/>
  <c r="I34" i="15"/>
  <c r="B84" i="21"/>
  <c r="H41" i="15"/>
  <c r="O84" i="21" s="1"/>
  <c r="P84" i="21" s="1"/>
  <c r="P85" i="21" s="1"/>
  <c r="G51" i="15"/>
  <c r="E51" i="15"/>
  <c r="I48" i="15"/>
  <c r="M53" i="21" s="1"/>
  <c r="N53" i="21" s="1"/>
  <c r="N54" i="21" s="1"/>
  <c r="N55" i="21" s="1"/>
  <c r="N56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P87" i="21" s="1"/>
  <c r="P88" i="21" s="1"/>
  <c r="G51" i="16"/>
  <c r="N86" i="21"/>
  <c r="N87" i="21" s="1"/>
  <c r="N88" i="21" s="1"/>
  <c r="E51" i="16"/>
  <c r="E59" i="9"/>
  <c r="I59" i="8"/>
  <c r="E84" i="21"/>
  <c r="F84" i="21" s="1"/>
  <c r="F85" i="21" s="1"/>
  <c r="F86" i="21" s="1"/>
  <c r="F87" i="21" s="1"/>
  <c r="F88" i="21" s="1"/>
  <c r="D84" i="21"/>
  <c r="D85" i="21" s="1"/>
  <c r="D86" i="21" s="1"/>
  <c r="D87" i="21" s="1"/>
  <c r="D88" i="21" s="1"/>
  <c r="I30" i="15"/>
  <c r="G33" i="15"/>
  <c r="I33" i="15" s="1"/>
  <c r="D14" i="17"/>
  <c r="C14" i="17"/>
  <c r="B12" i="20"/>
  <c r="A12" i="20"/>
  <c r="C12" i="20"/>
  <c r="E12" i="20"/>
  <c r="H12" i="20"/>
  <c r="D12" i="20"/>
  <c r="H12" i="19"/>
  <c r="D12" i="19"/>
  <c r="B12" i="19"/>
  <c r="A12" i="19"/>
  <c r="E12" i="19"/>
  <c r="C12" i="19"/>
  <c r="I14" i="18"/>
  <c r="U48" i="13"/>
  <c r="U47" i="13"/>
  <c r="I83" i="21"/>
  <c r="U44" i="13"/>
  <c r="U45" i="13"/>
  <c r="U49" i="13"/>
  <c r="G22" i="21"/>
  <c r="U46" i="13"/>
  <c r="U50" i="10"/>
  <c r="H39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57" i="10"/>
  <c r="I18" i="21"/>
  <c r="K18" i="21" s="1"/>
  <c r="L18" i="21" s="1"/>
  <c r="N18" i="21" s="1"/>
  <c r="J80" i="21"/>
  <c r="C51" i="10"/>
  <c r="I59" i="9"/>
  <c r="I14" i="19"/>
  <c r="D14" i="19" s="1"/>
  <c r="I14" i="20"/>
  <c r="C14" i="20" s="1"/>
  <c r="H24" i="20" s="1"/>
  <c r="I24" i="20" s="1"/>
  <c r="I29" i="20" s="1"/>
  <c r="H37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L80" i="21" l="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H40" i="20"/>
  <c r="M89" i="21" s="1"/>
  <c r="N89" i="21" s="1"/>
  <c r="E51" i="20" s="1"/>
  <c r="G31" i="20"/>
  <c r="I31" i="20" s="1"/>
  <c r="C51" i="20"/>
  <c r="C52" i="20"/>
  <c r="G32" i="20"/>
  <c r="I32" i="20" s="1"/>
  <c r="E52" i="20"/>
  <c r="H45" i="20"/>
  <c r="B89" i="21"/>
  <c r="G52" i="20"/>
  <c r="I34" i="20"/>
  <c r="H41" i="20"/>
  <c r="O89" i="21" s="1"/>
  <c r="P89" i="21" s="1"/>
  <c r="G51" i="20" s="1"/>
  <c r="H48" i="20"/>
  <c r="C49" i="20" s="1"/>
  <c r="D49" i="20" s="1"/>
  <c r="G30" i="20"/>
  <c r="D58" i="21"/>
  <c r="E58" i="21" s="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L81" i="21"/>
  <c r="L82" i="21" s="1"/>
  <c r="R80" i="21"/>
  <c r="H51" i="11" s="1"/>
  <c r="Q81" i="21"/>
  <c r="I53" i="12"/>
  <c r="H22" i="21"/>
  <c r="B51" i="21"/>
  <c r="F51" i="21" s="1"/>
  <c r="M19" i="21" l="1"/>
  <c r="E59" i="11"/>
  <c r="I59" i="10"/>
  <c r="U50" i="15"/>
  <c r="H39" i="15" s="1"/>
  <c r="L83" i="21"/>
  <c r="E102" i="21"/>
  <c r="F102" i="21" s="1"/>
  <c r="F103" i="21" s="1"/>
  <c r="F104" i="21" s="1"/>
  <c r="F105" i="21" s="1"/>
  <c r="F106" i="21" s="1"/>
  <c r="B102" i="21"/>
  <c r="C102" i="21" s="1"/>
  <c r="C103" i="21" s="1"/>
  <c r="C104" i="21" s="1"/>
  <c r="C105" i="21" s="1"/>
  <c r="C106" i="21" s="1"/>
  <c r="J84" i="21"/>
  <c r="J85" i="21" s="1"/>
  <c r="G33" i="20"/>
  <c r="I33" i="20" s="1"/>
  <c r="I30" i="20"/>
  <c r="U58" i="20"/>
  <c r="U56" i="20"/>
  <c r="U59" i="20"/>
  <c r="U57" i="20"/>
  <c r="U55" i="20"/>
  <c r="B23" i="21"/>
  <c r="C23" i="21" s="1"/>
  <c r="E23" i="21"/>
  <c r="F23" i="21" s="1"/>
  <c r="F24" i="21" s="1"/>
  <c r="F25" i="21" s="1"/>
  <c r="F26" i="21" s="1"/>
  <c r="F27" i="21" s="1"/>
  <c r="I23" i="21"/>
  <c r="K23" i="21"/>
  <c r="L23" i="21"/>
  <c r="M23" i="21" s="1"/>
  <c r="Q83" i="21"/>
  <c r="I53" i="13"/>
  <c r="E89" i="21"/>
  <c r="F89" i="21" s="1"/>
  <c r="D89" i="21"/>
  <c r="J20" i="21"/>
  <c r="R81" i="21"/>
  <c r="R82" i="21" s="1"/>
  <c r="J22" i="21"/>
  <c r="B52" i="21"/>
  <c r="F52" i="21" s="1"/>
  <c r="H23" i="21"/>
  <c r="N22" i="21"/>
  <c r="K84" i="21" l="1"/>
  <c r="L84" i="21" s="1"/>
  <c r="L85" i="21" s="1"/>
  <c r="L86" i="21" s="1"/>
  <c r="L87" i="21" s="1"/>
  <c r="L88" i="21" s="1"/>
  <c r="I57" i="15"/>
  <c r="D51" i="16"/>
  <c r="J86" i="21"/>
  <c r="J87" i="21" s="1"/>
  <c r="J88" i="21" s="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H38" i="20"/>
  <c r="I89" i="21" s="1"/>
  <c r="R83" i="21"/>
  <c r="U60" i="20"/>
  <c r="D52" i="20" s="1"/>
  <c r="H52" i="20" s="1"/>
  <c r="J23" i="21"/>
  <c r="C24" i="21"/>
  <c r="I24" i="21" s="1"/>
  <c r="K24" i="21" s="1"/>
  <c r="L24" i="21" s="1"/>
  <c r="M24" i="21" s="1"/>
  <c r="B53" i="21"/>
  <c r="F53" i="21" s="1"/>
  <c r="H24" i="21"/>
  <c r="N23" i="21"/>
  <c r="U46" i="20" l="1"/>
  <c r="G28" i="21"/>
  <c r="B28" i="21" s="1"/>
  <c r="U47" i="20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U49" i="20"/>
  <c r="U44" i="20"/>
  <c r="I59" i="11"/>
  <c r="U45" i="20"/>
  <c r="U48" i="20"/>
  <c r="E107" i="21"/>
  <c r="F107" i="21" s="1"/>
  <c r="B107" i="21"/>
  <c r="C107" i="21" s="1"/>
  <c r="J89" i="21"/>
  <c r="C11" i="23" s="1"/>
  <c r="B54" i="21"/>
  <c r="F54" i="21" s="1"/>
  <c r="H25" i="21"/>
  <c r="N24" i="21"/>
  <c r="C25" i="21"/>
  <c r="J24" i="21"/>
  <c r="E28" i="21" l="1"/>
  <c r="F28" i="21" s="1"/>
  <c r="I28" i="21"/>
  <c r="K28" i="21" s="1"/>
  <c r="L28" i="21" s="1"/>
  <c r="M28" i="21" s="1"/>
  <c r="U50" i="20"/>
  <c r="H39" i="20" s="1"/>
  <c r="I57" i="20" s="1"/>
  <c r="E59" i="17"/>
  <c r="Q61" i="17" s="1"/>
  <c r="I60" i="17" s="1"/>
  <c r="H59" i="17" s="1"/>
  <c r="E59" i="18" s="1"/>
  <c r="Q61" i="18" s="1"/>
  <c r="I60" i="18" s="1"/>
  <c r="H59" i="18" s="1"/>
  <c r="E59" i="19" s="1"/>
  <c r="Q61" i="19" s="1"/>
  <c r="I60" i="19" s="1"/>
  <c r="H59" i="19" s="1"/>
  <c r="E59" i="20" s="1"/>
  <c r="I59" i="20" s="1"/>
  <c r="I59" i="16"/>
  <c r="R86" i="21"/>
  <c r="R87" i="21" s="1"/>
  <c r="R88" i="21" s="1"/>
  <c r="H51" i="16"/>
  <c r="C22" i="23"/>
  <c r="C29" i="23"/>
  <c r="C34" i="23"/>
  <c r="C32" i="23"/>
  <c r="C20" i="23"/>
  <c r="C19" i="23"/>
  <c r="C18" i="23"/>
  <c r="C15" i="23"/>
  <c r="C49" i="23"/>
  <c r="C50" i="23" s="1"/>
  <c r="F62" i="23" s="1"/>
  <c r="C28" i="23"/>
  <c r="C23" i="23"/>
  <c r="C17" i="23"/>
  <c r="C30" i="23"/>
  <c r="C36" i="23"/>
  <c r="C33" i="23"/>
  <c r="C35" i="23"/>
  <c r="C31" i="23"/>
  <c r="C16" i="23"/>
  <c r="C21" i="23"/>
  <c r="C56" i="23"/>
  <c r="C57" i="23" s="1"/>
  <c r="C58" i="23" s="1"/>
  <c r="F63" i="23" s="1"/>
  <c r="J25" i="21"/>
  <c r="C26" i="21"/>
  <c r="H26" i="21"/>
  <c r="B55" i="21"/>
  <c r="F55" i="21" s="1"/>
  <c r="N25" i="21"/>
  <c r="I42" i="20" l="1"/>
  <c r="Q89" i="21" s="1"/>
  <c r="R89" i="21" s="1"/>
  <c r="H51" i="20" s="1"/>
  <c r="I52" i="20" s="1"/>
  <c r="I53" i="20" s="1"/>
  <c r="Q61" i="20" s="1"/>
  <c r="K89" i="21"/>
  <c r="L89" i="21" s="1"/>
  <c r="D51" i="20" s="1"/>
  <c r="F61" i="23"/>
  <c r="G63" i="23" s="1"/>
  <c r="F60" i="23"/>
  <c r="B56" i="21"/>
  <c r="F56" i="21" s="1"/>
  <c r="N26" i="21"/>
  <c r="H27" i="21"/>
  <c r="J26" i="21"/>
  <c r="C27" i="21"/>
  <c r="C28" i="21" s="1"/>
  <c r="J28" i="21" s="1"/>
  <c r="I60" i="20" l="1"/>
  <c r="N27" i="21"/>
  <c r="B57" i="21"/>
  <c r="F57" i="21" s="1"/>
  <c r="H28" i="21"/>
  <c r="E31" i="21" l="1"/>
  <c r="E32" i="21" s="1"/>
  <c r="N28" i="21"/>
  <c r="B58" i="21"/>
  <c r="F58" i="21" s="1"/>
</calcChain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<sst xmlns="http://schemas.openxmlformats.org/spreadsheetml/2006/main" count="1984" uniqueCount="268">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</sst>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824">
    <xf numFmtId="0" fontId="0" fillId="0" borderId="0" xfId="0"/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Fill="1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 applyProtection="1">
      <alignment vertical="center"/>
    </xf>
    <xf numFmtId="0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 applyProtection="1">
      <alignment vertical="center"/>
    </xf>
    <xf numFmtId="3" fontId="5" fillId="0" borderId="5" xfId="0" applyNumberFormat="1" applyFont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0" fontId="0" fillId="0" borderId="1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3" fontId="0" fillId="0" borderId="0" xfId="0" applyNumberForma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169" fontId="5" fillId="0" borderId="6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3" fontId="7" fillId="0" borderId="2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3" fontId="7" fillId="0" borderId="15" xfId="0" applyNumberFormat="1" applyFont="1" applyBorder="1" applyAlignment="1" applyProtection="1">
      <alignment vertical="center"/>
    </xf>
    <xf numFmtId="0" fontId="13" fillId="0" borderId="10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vertical="center" wrapText="1"/>
    </xf>
    <xf numFmtId="10" fontId="5" fillId="0" borderId="6" xfId="0" applyNumberFormat="1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vertical="center" wrapText="1"/>
    </xf>
    <xf numFmtId="168" fontId="5" fillId="0" borderId="8" xfId="0" applyNumberFormat="1" applyFont="1" applyBorder="1" applyAlignment="1" applyProtection="1">
      <alignment horizontal="left" vertical="center"/>
    </xf>
    <xf numFmtId="2" fontId="7" fillId="0" borderId="0" xfId="0" applyNumberFormat="1" applyFont="1" applyBorder="1" applyAlignment="1" applyProtection="1">
      <alignment vertical="center"/>
    </xf>
    <xf numFmtId="0" fontId="13" fillId="0" borderId="4" xfId="0" applyFont="1" applyBorder="1" applyAlignment="1" applyProtection="1">
      <alignment vertical="center" wrapText="1"/>
    </xf>
    <xf numFmtId="0" fontId="7" fillId="0" borderId="4" xfId="0" applyFont="1" applyBorder="1" applyAlignment="1" applyProtection="1">
      <alignment vertical="center"/>
    </xf>
    <xf numFmtId="10" fontId="5" fillId="0" borderId="9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 wrapText="1"/>
    </xf>
    <xf numFmtId="169" fontId="5" fillId="0" borderId="13" xfId="0" applyNumberFormat="1" applyFont="1" applyBorder="1" applyAlignment="1" applyProtection="1">
      <alignment vertical="center"/>
    </xf>
    <xf numFmtId="0" fontId="5" fillId="0" borderId="11" xfId="0" applyFont="1" applyBorder="1" applyAlignment="1" applyProtection="1">
      <alignment vertical="center" wrapText="1"/>
    </xf>
    <xf numFmtId="169" fontId="5" fillId="0" borderId="22" xfId="0" applyNumberFormat="1" applyFont="1" applyBorder="1" applyAlignment="1" applyProtection="1">
      <alignment vertical="center"/>
    </xf>
    <xf numFmtId="169" fontId="5" fillId="0" borderId="14" xfId="0" applyNumberFormat="1" applyFont="1" applyBorder="1" applyAlignment="1" applyProtection="1">
      <alignment vertical="center"/>
    </xf>
    <xf numFmtId="0" fontId="0" fillId="0" borderId="15" xfId="0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169" fontId="7" fillId="0" borderId="0" xfId="0" applyNumberFormat="1" applyFont="1" applyAlignment="1" applyProtection="1">
      <alignment vertical="center"/>
    </xf>
    <xf numFmtId="0" fontId="4" fillId="0" borderId="0" xfId="0" applyFont="1" applyProtection="1"/>
    <xf numFmtId="0" fontId="0" fillId="0" borderId="0" xfId="0" applyBorder="1" applyAlignment="1" applyProtection="1">
      <alignment vertical="center"/>
      <protection locked="0"/>
    </xf>
    <xf numFmtId="169" fontId="5" fillId="0" borderId="23" xfId="0" applyNumberFormat="1" applyFont="1" applyBorder="1" applyAlignment="1" applyProtection="1">
      <alignment vertical="center"/>
    </xf>
    <xf numFmtId="170" fontId="5" fillId="0" borderId="0" xfId="0" applyNumberFormat="1" applyFont="1" applyFill="1" applyBorder="1" applyAlignment="1" applyProtection="1">
      <alignment vertical="center"/>
    </xf>
    <xf numFmtId="175" fontId="5" fillId="0" borderId="24" xfId="0" applyNumberFormat="1" applyFont="1" applyFill="1" applyBorder="1" applyAlignment="1" applyProtection="1">
      <alignment vertical="center"/>
    </xf>
    <xf numFmtId="169" fontId="5" fillId="0" borderId="24" xfId="0" applyNumberFormat="1" applyFont="1" applyFill="1" applyBorder="1" applyAlignment="1" applyProtection="1">
      <alignment vertical="center"/>
    </xf>
    <xf numFmtId="3" fontId="5" fillId="0" borderId="25" xfId="0" applyNumberFormat="1" applyFont="1" applyFill="1" applyBorder="1" applyAlignment="1" applyProtection="1">
      <alignment vertical="center"/>
    </xf>
    <xf numFmtId="169" fontId="5" fillId="0" borderId="24" xfId="0" applyNumberFormat="1" applyFont="1" applyFill="1" applyBorder="1" applyAlignment="1">
      <alignment vertical="center"/>
    </xf>
    <xf numFmtId="170" fontId="5" fillId="0" borderId="26" xfId="0" applyNumberFormat="1" applyFont="1" applyFill="1" applyBorder="1" applyAlignment="1" applyProtection="1">
      <alignment vertical="center"/>
    </xf>
    <xf numFmtId="0" fontId="7" fillId="0" borderId="27" xfId="0" applyFont="1" applyFill="1" applyBorder="1" applyAlignment="1" applyProtection="1">
      <alignment horizontal="left" vertical="center" indent="1"/>
    </xf>
    <xf numFmtId="0" fontId="7" fillId="0" borderId="15" xfId="0" applyFont="1" applyFill="1" applyBorder="1" applyAlignment="1" applyProtection="1">
      <alignment vertical="center"/>
    </xf>
    <xf numFmtId="169" fontId="7" fillId="0" borderId="28" xfId="0" applyNumberFormat="1" applyFont="1" applyFill="1" applyBorder="1" applyAlignment="1" applyProtection="1">
      <alignment vertical="center"/>
    </xf>
    <xf numFmtId="169" fontId="7" fillId="0" borderId="28" xfId="0" applyNumberFormat="1" applyFont="1" applyFill="1" applyBorder="1" applyAlignment="1">
      <alignment vertical="center"/>
    </xf>
    <xf numFmtId="0" fontId="2" fillId="0" borderId="29" xfId="0" applyFont="1" applyFill="1" applyBorder="1" applyAlignment="1" applyProtection="1">
      <alignment horizontal="center" vertical="top"/>
    </xf>
    <xf numFmtId="0" fontId="2" fillId="0" borderId="16" xfId="0" applyFont="1" applyFill="1" applyBorder="1" applyAlignment="1" applyProtection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0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1" fillId="0" borderId="31" xfId="0" applyFont="1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vertical="center"/>
    </xf>
    <xf numFmtId="0" fontId="19" fillId="0" borderId="26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horizontal="left" vertical="center" wrapText="1"/>
    </xf>
    <xf numFmtId="173" fontId="19" fillId="0" borderId="0" xfId="0" applyNumberFormat="1" applyFont="1" applyBorder="1" applyAlignment="1" applyProtection="1">
      <alignment horizontal="left" vertical="center" wrapText="1"/>
    </xf>
    <xf numFmtId="0" fontId="15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Protection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 applyProtection="1">
      <alignment horizontal="center" vertical="center" wrapText="1"/>
    </xf>
    <xf numFmtId="0" fontId="15" fillId="0" borderId="15" xfId="0" applyFont="1" applyBorder="1" applyProtection="1"/>
    <xf numFmtId="0" fontId="15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21" fillId="0" borderId="33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2" fillId="0" borderId="34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right" vertical="center"/>
    </xf>
    <xf numFmtId="0" fontId="15" fillId="0" borderId="5" xfId="0" applyFont="1" applyBorder="1" applyAlignment="1" applyProtection="1">
      <alignment horizontal="right" vertical="center"/>
    </xf>
    <xf numFmtId="0" fontId="15" fillId="0" borderId="30" xfId="0" applyFont="1" applyBorder="1" applyAlignment="1" applyProtection="1">
      <alignment vertical="center"/>
    </xf>
    <xf numFmtId="0" fontId="15" fillId="0" borderId="35" xfId="0" applyFont="1" applyBorder="1" applyAlignment="1" applyProtection="1">
      <alignment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 applyProtection="1">
      <alignment vertical="center"/>
    </xf>
    <xf numFmtId="0" fontId="22" fillId="0" borderId="36" xfId="0" applyFont="1" applyBorder="1" applyAlignment="1" applyProtection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34" xfId="0" applyFont="1" applyBorder="1" applyAlignment="1">
      <alignment vertical="center"/>
    </xf>
    <xf numFmtId="0" fontId="22" fillId="0" borderId="27" xfId="0" applyFont="1" applyBorder="1" applyAlignment="1" applyProtection="1">
      <alignment vertical="center"/>
    </xf>
    <xf numFmtId="0" fontId="22" fillId="0" borderId="37" xfId="0" applyFont="1" applyBorder="1" applyAlignment="1" applyProtection="1">
      <alignment vertical="center"/>
    </xf>
    <xf numFmtId="0" fontId="15" fillId="0" borderId="38" xfId="0" applyFont="1" applyBorder="1" applyAlignment="1" applyProtection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 applyProtection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 applyProtection="1">
      <alignment horizontal="center" vertical="center"/>
    </xf>
    <xf numFmtId="0" fontId="15" fillId="0" borderId="40" xfId="0" applyFont="1" applyBorder="1" applyAlignment="1" applyProtection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 applyProtection="1">
      <alignment horizontal="center" vertical="center" wrapText="1"/>
    </xf>
    <xf numFmtId="0" fontId="22" fillId="0" borderId="26" xfId="0" applyFont="1" applyBorder="1" applyAlignment="1" applyProtection="1">
      <alignment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 applyProtection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 applyProtection="1">
      <alignment vertical="center"/>
    </xf>
    <xf numFmtId="0" fontId="2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4" fillId="0" borderId="0" xfId="0" applyFont="1" applyProtection="1"/>
    <xf numFmtId="0" fontId="20" fillId="0" borderId="0" xfId="0" applyFont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Border="1" applyAlignment="1">
      <alignment horizontal="left" vertical="center"/>
    </xf>
    <xf numFmtId="0" fontId="0" fillId="0" borderId="1" xfId="0" applyBorder="1" applyProtection="1"/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 applyProtection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Border="1" applyAlignment="1" applyProtection="1">
      <alignment vertical="center"/>
    </xf>
    <xf numFmtId="0" fontId="10" fillId="0" borderId="0" xfId="0" applyFont="1" applyProtection="1"/>
    <xf numFmtId="0" fontId="27" fillId="0" borderId="0" xfId="0" applyFont="1" applyAlignment="1" applyProtection="1">
      <alignment vertical="center"/>
    </xf>
    <xf numFmtId="0" fontId="27" fillId="0" borderId="0" xfId="0" applyFont="1" applyProtection="1"/>
    <xf numFmtId="0" fontId="27" fillId="0" borderId="0" xfId="0" applyFont="1" applyAlignment="1">
      <alignment vertical="center"/>
    </xf>
    <xf numFmtId="0" fontId="27" fillId="0" borderId="0" xfId="0" applyFont="1"/>
    <xf numFmtId="169" fontId="5" fillId="0" borderId="12" xfId="0" applyNumberFormat="1" applyFont="1" applyBorder="1" applyAlignment="1" applyProtection="1">
      <alignment horizontal="right" vertical="center"/>
    </xf>
    <xf numFmtId="4" fontId="5" fillId="0" borderId="13" xfId="0" applyNumberFormat="1" applyFont="1" applyBorder="1" applyAlignment="1" applyProtection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Fill="1" applyBorder="1" applyAlignment="1" applyProtection="1">
      <alignment horizontal="center" vertical="center"/>
      <protection locked="0"/>
    </xf>
    <xf numFmtId="3" fontId="5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Border="1" applyAlignment="1" applyProtection="1">
      <alignment horizontal="left" vertical="center"/>
    </xf>
    <xf numFmtId="14" fontId="2" fillId="0" borderId="0" xfId="0" applyNumberFormat="1" applyFont="1" applyBorder="1" applyAlignment="1" applyProtection="1">
      <alignment horizontal="left" vertical="center"/>
    </xf>
    <xf numFmtId="14" fontId="2" fillId="0" borderId="1" xfId="0" applyNumberFormat="1" applyFont="1" applyBorder="1" applyAlignment="1" applyProtection="1">
      <alignment horizontal="left" vertical="center"/>
    </xf>
    <xf numFmtId="0" fontId="2" fillId="0" borderId="1" xfId="0" applyNumberFormat="1" applyFont="1" applyBorder="1" applyAlignment="1" applyProtection="1">
      <alignment vertical="center"/>
    </xf>
    <xf numFmtId="0" fontId="2" fillId="0" borderId="1" xfId="0" applyNumberFormat="1" applyFont="1" applyBorder="1" applyAlignment="1" applyProtection="1">
      <alignment horizontal="left" vertical="center"/>
    </xf>
    <xf numFmtId="169" fontId="7" fillId="0" borderId="19" xfId="0" applyNumberFormat="1" applyFont="1" applyBorder="1" applyAlignment="1" applyProtection="1">
      <alignment vertical="center"/>
    </xf>
    <xf numFmtId="169" fontId="7" fillId="0" borderId="20" xfId="0" applyNumberFormat="1" applyFont="1" applyBorder="1" applyAlignment="1" applyProtection="1">
      <alignment vertical="center"/>
    </xf>
    <xf numFmtId="169" fontId="7" fillId="0" borderId="21" xfId="0" applyNumberFormat="1" applyFont="1" applyBorder="1" applyAlignment="1" applyProtection="1">
      <alignment vertical="center"/>
    </xf>
    <xf numFmtId="169" fontId="11" fillId="0" borderId="17" xfId="0" applyNumberFormat="1" applyFont="1" applyFill="1" applyBorder="1" applyAlignment="1" applyProtection="1">
      <alignment vertical="center"/>
    </xf>
    <xf numFmtId="169" fontId="7" fillId="0" borderId="47" xfId="0" applyNumberFormat="1" applyFont="1" applyBorder="1" applyAlignment="1" applyProtection="1">
      <alignment vertical="center"/>
    </xf>
    <xf numFmtId="169" fontId="7" fillId="0" borderId="24" xfId="0" applyNumberFormat="1" applyFont="1" applyBorder="1" applyAlignment="1" applyProtection="1">
      <alignment vertical="center"/>
    </xf>
    <xf numFmtId="169" fontId="7" fillId="0" borderId="17" xfId="0" applyNumberFormat="1" applyFont="1" applyBorder="1" applyAlignment="1" applyProtection="1">
      <alignment vertical="center"/>
    </xf>
    <xf numFmtId="169" fontId="7" fillId="0" borderId="42" xfId="0" applyNumberFormat="1" applyFont="1" applyBorder="1" applyAlignment="1" applyProtection="1">
      <alignment vertical="center"/>
    </xf>
    <xf numFmtId="169" fontId="7" fillId="0" borderId="44" xfId="0" applyNumberFormat="1" applyFont="1" applyBorder="1" applyAlignment="1" applyProtection="1">
      <alignment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Fill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169" fontId="7" fillId="0" borderId="24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0" fontId="7" fillId="0" borderId="44" xfId="0" applyFont="1" applyBorder="1"/>
    <xf numFmtId="0" fontId="15" fillId="0" borderId="27" xfId="0" applyFont="1" applyBorder="1" applyAlignment="1" applyProtection="1">
      <alignment horizontal="left" vertical="center" indent="1"/>
    </xf>
    <xf numFmtId="0" fontId="15" fillId="0" borderId="15" xfId="0" applyFont="1" applyBorder="1" applyAlignment="1" applyProtection="1">
      <alignment horizontal="left" vertical="center" indent="2"/>
    </xf>
    <xf numFmtId="10" fontId="5" fillId="0" borderId="48" xfId="0" applyNumberFormat="1" applyFont="1" applyBorder="1" applyAlignment="1" applyProtection="1">
      <alignment horizontal="center" vertical="center"/>
    </xf>
    <xf numFmtId="10" fontId="5" fillId="0" borderId="13" xfId="0" applyNumberFormat="1" applyFont="1" applyBorder="1" applyAlignment="1" applyProtection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</xf>
    <xf numFmtId="0" fontId="0" fillId="0" borderId="29" xfId="0" applyBorder="1" applyAlignment="1">
      <alignment vertical="center"/>
    </xf>
    <xf numFmtId="0" fontId="29" fillId="0" borderId="49" xfId="0" applyFont="1" applyBorder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Fill="1" applyBorder="1" applyAlignment="1" applyProtection="1">
      <alignment horizontal="center" vertical="center"/>
    </xf>
    <xf numFmtId="4" fontId="5" fillId="0" borderId="45" xfId="0" applyNumberFormat="1" applyFont="1" applyFill="1" applyBorder="1" applyAlignment="1" applyProtection="1">
      <alignment horizontal="center" vertical="center"/>
    </xf>
    <xf numFmtId="2" fontId="5" fillId="0" borderId="51" xfId="0" applyNumberFormat="1" applyFont="1" applyFill="1" applyBorder="1" applyAlignment="1" applyProtection="1">
      <alignment horizontal="center" vertical="center"/>
      <protection locked="0"/>
    </xf>
    <xf numFmtId="0" fontId="29" fillId="0" borderId="50" xfId="0" applyFont="1" applyBorder="1" applyAlignment="1" applyProtection="1">
      <alignment horizontal="center" vertical="center" wrapText="1"/>
    </xf>
    <xf numFmtId="0" fontId="29" fillId="0" borderId="45" xfId="0" applyFont="1" applyBorder="1" applyAlignment="1" applyProtection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 applyProtection="1">
      <alignment horizontal="center" vertical="center" wrapText="1"/>
    </xf>
    <xf numFmtId="3" fontId="5" fillId="0" borderId="53" xfId="0" applyNumberFormat="1" applyFont="1" applyFill="1" applyBorder="1" applyAlignment="1" applyProtection="1">
      <alignment horizontal="center" vertical="center"/>
    </xf>
    <xf numFmtId="172" fontId="5" fillId="0" borderId="39" xfId="0" applyNumberFormat="1" applyFont="1" applyFill="1" applyBorder="1" applyAlignment="1" applyProtection="1">
      <alignment horizontal="center" vertical="center"/>
    </xf>
    <xf numFmtId="4" fontId="12" fillId="0" borderId="54" xfId="0" applyNumberFormat="1" applyFont="1" applyFill="1" applyBorder="1" applyAlignment="1" applyProtection="1">
      <alignment horizontal="center" vertical="center"/>
    </xf>
    <xf numFmtId="172" fontId="5" fillId="0" borderId="39" xfId="0" applyNumberFormat="1" applyFont="1" applyFill="1" applyBorder="1" applyAlignment="1">
      <alignment horizontal="center" vertical="center"/>
    </xf>
    <xf numFmtId="4" fontId="12" fillId="0" borderId="54" xfId="0" applyNumberFormat="1" applyFont="1" applyFill="1" applyBorder="1" applyAlignment="1">
      <alignment horizontal="center" vertical="center"/>
    </xf>
    <xf numFmtId="0" fontId="29" fillId="0" borderId="55" xfId="0" applyFont="1" applyBorder="1" applyAlignment="1" applyProtection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Fill="1" applyBorder="1" applyAlignment="1" applyProtection="1">
      <alignment horizontal="center" vertical="center"/>
      <protection locked="0"/>
    </xf>
    <xf numFmtId="3" fontId="4" fillId="0" borderId="57" xfId="0" applyNumberFormat="1" applyFont="1" applyFill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vertical="center"/>
    </xf>
    <xf numFmtId="0" fontId="19" fillId="0" borderId="59" xfId="0" applyFont="1" applyBorder="1" applyAlignment="1" applyProtection="1">
      <alignment vertical="center"/>
    </xf>
    <xf numFmtId="0" fontId="20" fillId="0" borderId="60" xfId="0" applyFont="1" applyBorder="1" applyAlignment="1" applyProtection="1">
      <alignment vertical="center"/>
    </xf>
    <xf numFmtId="0" fontId="28" fillId="0" borderId="27" xfId="0" applyFont="1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0" fillId="0" borderId="15" xfId="0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 applyProtection="1">
      <alignment horizontal="right" vertical="center"/>
    </xf>
    <xf numFmtId="169" fontId="5" fillId="0" borderId="40" xfId="0" applyNumberFormat="1" applyFont="1" applyBorder="1" applyAlignment="1" applyProtection="1">
      <alignment horizontal="right" vertical="center"/>
    </xf>
    <xf numFmtId="169" fontId="6" fillId="0" borderId="39" xfId="0" applyNumberFormat="1" applyFont="1" applyBorder="1" applyAlignment="1" applyProtection="1">
      <alignment horizontal="center" vertical="center"/>
    </xf>
    <xf numFmtId="169" fontId="5" fillId="0" borderId="40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0" fillId="0" borderId="24" xfId="0" applyBorder="1" applyProtection="1"/>
    <xf numFmtId="0" fontId="20" fillId="0" borderId="61" xfId="0" applyFont="1" applyBorder="1" applyAlignment="1" applyProtection="1">
      <alignment vertical="center"/>
    </xf>
    <xf numFmtId="0" fontId="20" fillId="0" borderId="62" xfId="0" applyFont="1" applyBorder="1" applyAlignment="1" applyProtection="1">
      <alignment vertical="center"/>
    </xf>
    <xf numFmtId="0" fontId="24" fillId="0" borderId="62" xfId="0" applyFont="1" applyBorder="1" applyAlignment="1" applyProtection="1">
      <alignment vertical="center"/>
    </xf>
    <xf numFmtId="0" fontId="24" fillId="0" borderId="62" xfId="0" applyFont="1" applyBorder="1" applyProtection="1"/>
    <xf numFmtId="0" fontId="24" fillId="0" borderId="63" xfId="0" applyFont="1" applyBorder="1" applyAlignment="1" applyProtection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3" xfId="0" applyFont="1" applyBorder="1" applyAlignment="1">
      <alignment vertical="center"/>
    </xf>
    <xf numFmtId="179" fontId="5" fillId="0" borderId="13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/>
    <xf numFmtId="10" fontId="6" fillId="0" borderId="0" xfId="3" applyNumberFormat="1" applyFont="1" applyProtection="1"/>
    <xf numFmtId="0" fontId="13" fillId="0" borderId="27" xfId="0" applyFont="1" applyFill="1" applyBorder="1" applyAlignment="1" applyProtection="1">
      <alignment horizontal="left" vertical="center" indent="2"/>
    </xf>
    <xf numFmtId="0" fontId="13" fillId="0" borderId="15" xfId="0" applyFont="1" applyFill="1" applyBorder="1" applyAlignment="1" applyProtection="1">
      <alignment horizontal="left" vertical="center" indent="2"/>
    </xf>
    <xf numFmtId="169" fontId="0" fillId="0" borderId="0" xfId="0" applyNumberFormat="1" applyBorder="1"/>
    <xf numFmtId="0" fontId="15" fillId="0" borderId="34" xfId="0" applyFont="1" applyBorder="1" applyAlignment="1" applyProtection="1">
      <alignment vertical="center"/>
    </xf>
    <xf numFmtId="0" fontId="13" fillId="0" borderId="2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64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18" fillId="0" borderId="16" xfId="0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vertical="center"/>
    </xf>
    <xf numFmtId="3" fontId="7" fillId="0" borderId="64" xfId="0" applyNumberFormat="1" applyFont="1" applyBorder="1" applyAlignment="1" applyProtection="1">
      <alignment vertical="center"/>
    </xf>
    <xf numFmtId="3" fontId="7" fillId="0" borderId="65" xfId="0" applyNumberFormat="1" applyFont="1" applyBorder="1" applyAlignment="1" applyProtection="1">
      <alignment vertical="center"/>
    </xf>
    <xf numFmtId="0" fontId="15" fillId="0" borderId="41" xfId="0" applyFont="1" applyBorder="1" applyAlignment="1" applyProtection="1">
      <alignment vertical="center"/>
    </xf>
    <xf numFmtId="0" fontId="12" fillId="0" borderId="11" xfId="0" applyFont="1" applyBorder="1" applyAlignment="1" applyProtection="1">
      <alignment vertical="center" wrapText="1"/>
    </xf>
    <xf numFmtId="0" fontId="15" fillId="0" borderId="11" xfId="0" applyFont="1" applyBorder="1" applyAlignment="1" applyProtection="1">
      <alignment horizontal="right" vertical="center"/>
    </xf>
    <xf numFmtId="168" fontId="5" fillId="0" borderId="66" xfId="0" applyNumberFormat="1" applyFont="1" applyBorder="1" applyAlignment="1" applyProtection="1">
      <alignment horizontal="left" vertical="center"/>
    </xf>
    <xf numFmtId="10" fontId="5" fillId="0" borderId="22" xfId="0" applyNumberFormat="1" applyFont="1" applyBorder="1" applyAlignment="1" applyProtection="1">
      <alignment horizontal="center"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69" fontId="5" fillId="0" borderId="14" xfId="0" applyNumberFormat="1" applyFont="1" applyBorder="1" applyAlignment="1">
      <alignment horizontal="right" vertical="center"/>
    </xf>
    <xf numFmtId="10" fontId="5" fillId="0" borderId="22" xfId="0" applyNumberFormat="1" applyFont="1" applyBorder="1" applyAlignment="1">
      <alignment horizontal="center" vertical="center"/>
    </xf>
    <xf numFmtId="0" fontId="21" fillId="0" borderId="40" xfId="0" applyFont="1" applyBorder="1" applyAlignment="1" applyProtection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 applyProtection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 applyProtection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Fill="1" applyBorder="1" applyAlignment="1" applyProtection="1">
      <alignment horizontal="center" vertical="center"/>
    </xf>
    <xf numFmtId="169" fontId="5" fillId="0" borderId="63" xfId="0" applyNumberFormat="1" applyFont="1" applyBorder="1" applyAlignment="1" applyProtection="1">
      <alignment vertical="center"/>
    </xf>
    <xf numFmtId="169" fontId="5" fillId="0" borderId="69" xfId="0" applyNumberFormat="1" applyFont="1" applyBorder="1" applyAlignment="1" applyProtection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Fill="1" applyBorder="1" applyAlignment="1" applyProtection="1">
      <alignment vertical="center"/>
    </xf>
    <xf numFmtId="4" fontId="0" fillId="0" borderId="0" xfId="0" applyNumberFormat="1"/>
    <xf numFmtId="3" fontId="25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/>
    <xf numFmtId="0" fontId="12" fillId="0" borderId="0" xfId="0" applyFont="1" applyBorder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Border="1" applyAlignment="1">
      <alignment vertical="center"/>
    </xf>
    <xf numFmtId="187" fontId="4" fillId="0" borderId="0" xfId="0" applyNumberFormat="1" applyFont="1" applyBorder="1" applyAlignment="1">
      <alignment horizontal="left" vertical="center"/>
    </xf>
    <xf numFmtId="170" fontId="3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left" vertical="center"/>
    </xf>
    <xf numFmtId="3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left" vertical="center"/>
    </xf>
    <xf numFmtId="170" fontId="11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vertic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85" fontId="5" fillId="0" borderId="0" xfId="2" applyNumberFormat="1" applyFont="1" applyBorder="1" applyAlignment="1">
      <alignment horizontal="left" vertical="center"/>
    </xf>
    <xf numFmtId="169" fontId="7" fillId="0" borderId="0" xfId="0" applyNumberFormat="1" applyFont="1" applyBorder="1" applyAlignment="1">
      <alignment vertical="center"/>
    </xf>
    <xf numFmtId="0" fontId="2" fillId="0" borderId="0" xfId="0" applyFont="1"/>
    <xf numFmtId="166" fontId="7" fillId="0" borderId="0" xfId="0" applyNumberFormat="1" applyFont="1" applyBorder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49" fontId="7" fillId="0" borderId="0" xfId="0" applyNumberFormat="1" applyFont="1" applyBorder="1" applyAlignment="1" applyProtection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Fill="1" applyBorder="1" applyAlignment="1" applyProtection="1">
      <alignment horizontal="center" vertical="center"/>
    </xf>
    <xf numFmtId="172" fontId="15" fillId="0" borderId="0" xfId="0" applyNumberFormat="1" applyFont="1" applyProtection="1"/>
    <xf numFmtId="0" fontId="33" fillId="0" borderId="62" xfId="0" applyFont="1" applyBorder="1" applyAlignment="1" applyProtection="1">
      <alignment horizontal="center" vertical="center"/>
    </xf>
    <xf numFmtId="0" fontId="20" fillId="0" borderId="63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16" fillId="0" borderId="34" xfId="0" applyFont="1" applyBorder="1" applyAlignment="1" applyProtection="1">
      <alignment horizontal="center" vertical="center"/>
    </xf>
    <xf numFmtId="0" fontId="16" fillId="0" borderId="30" xfId="0" applyFont="1" applyBorder="1" applyAlignment="1" applyProtection="1">
      <alignment horizontal="center" vertical="center"/>
    </xf>
    <xf numFmtId="0" fontId="16" fillId="0" borderId="30" xfId="0" applyFont="1" applyFill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190" fontId="5" fillId="0" borderId="40" xfId="0" applyNumberFormat="1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16" fillId="0" borderId="41" xfId="0" applyFont="1" applyBorder="1" applyAlignment="1" applyProtection="1">
      <alignment horizontal="center" vertical="center"/>
    </xf>
    <xf numFmtId="0" fontId="16" fillId="0" borderId="44" xfId="0" applyFont="1" applyFill="1" applyBorder="1" applyAlignment="1" applyProtection="1">
      <alignment horizontal="center" vertical="center"/>
    </xf>
    <xf numFmtId="169" fontId="2" fillId="0" borderId="14" xfId="0" applyNumberFormat="1" applyFont="1" applyBorder="1" applyAlignment="1" applyProtection="1">
      <alignment vertical="center"/>
    </xf>
    <xf numFmtId="172" fontId="2" fillId="0" borderId="39" xfId="0" applyNumberFormat="1" applyFont="1" applyFill="1" applyBorder="1" applyAlignment="1">
      <alignment horizontal="center" vertical="center"/>
    </xf>
    <xf numFmtId="10" fontId="2" fillId="0" borderId="48" xfId="0" applyNumberFormat="1" applyFont="1" applyBorder="1" applyAlignment="1" applyProtection="1">
      <alignment horizontal="center" vertical="center"/>
    </xf>
    <xf numFmtId="10" fontId="2" fillId="0" borderId="13" xfId="0" applyNumberFormat="1" applyFont="1" applyBorder="1" applyAlignment="1" applyProtection="1">
      <alignment horizontal="center" vertical="center"/>
    </xf>
    <xf numFmtId="0" fontId="27" fillId="3" borderId="27" xfId="0" applyFont="1" applyFill="1" applyBorder="1" applyAlignment="1" applyProtection="1">
      <alignment vertical="center"/>
    </xf>
    <xf numFmtId="0" fontId="27" fillId="3" borderId="15" xfId="0" applyFont="1" applyFill="1" applyBorder="1" applyAlignment="1" applyProtection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17" fontId="27" fillId="3" borderId="15" xfId="0" applyNumberFormat="1" applyFont="1" applyFill="1" applyBorder="1" applyAlignment="1" applyProtection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</xf>
    <xf numFmtId="0" fontId="14" fillId="3" borderId="15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 applyProtection="1">
      <alignment vertical="center"/>
    </xf>
    <xf numFmtId="190" fontId="2" fillId="0" borderId="40" xfId="0" applyNumberFormat="1" applyFont="1" applyBorder="1" applyAlignment="1" applyProtection="1">
      <alignment vertical="center"/>
    </xf>
    <xf numFmtId="169" fontId="2" fillId="0" borderId="23" xfId="0" applyNumberFormat="1" applyFont="1" applyBorder="1" applyAlignment="1" applyProtection="1">
      <alignment vertical="center"/>
    </xf>
    <xf numFmtId="169" fontId="2" fillId="0" borderId="6" xfId="0" applyNumberFormat="1" applyFont="1" applyBorder="1" applyAlignment="1" applyProtection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3" fontId="5" fillId="0" borderId="2" xfId="0" applyNumberFormat="1" applyFont="1" applyBorder="1" applyAlignment="1" applyProtection="1">
      <alignment horizontal="right" vertical="center"/>
    </xf>
    <xf numFmtId="10" fontId="5" fillId="0" borderId="5" xfId="0" applyNumberFormat="1" applyFont="1" applyBorder="1" applyAlignment="1" applyProtection="1">
      <alignment horizontal="center" vertical="center"/>
    </xf>
    <xf numFmtId="168" fontId="5" fillId="0" borderId="7" xfId="0" applyNumberFormat="1" applyFont="1" applyBorder="1" applyAlignment="1" applyProtection="1">
      <alignment horizontal="left" vertical="center"/>
    </xf>
    <xf numFmtId="10" fontId="5" fillId="0" borderId="8" xfId="0" applyNumberFormat="1" applyFont="1" applyBorder="1" applyAlignment="1" applyProtection="1">
      <alignment horizontal="center" vertical="center"/>
    </xf>
    <xf numFmtId="0" fontId="15" fillId="0" borderId="74" xfId="0" applyFont="1" applyBorder="1" applyAlignment="1" applyProtection="1">
      <alignment horizontal="center" vertical="center"/>
    </xf>
    <xf numFmtId="168" fontId="5" fillId="0" borderId="11" xfId="0" applyNumberFormat="1" applyFont="1" applyBorder="1" applyAlignment="1" applyProtection="1">
      <alignment horizontal="left" vertical="center"/>
    </xf>
    <xf numFmtId="10" fontId="5" fillId="0" borderId="66" xfId="0" applyNumberFormat="1" applyFont="1" applyBorder="1" applyAlignment="1" applyProtection="1">
      <alignment horizontal="center" vertical="center"/>
    </xf>
    <xf numFmtId="169" fontId="5" fillId="0" borderId="40" xfId="0" applyNumberFormat="1" applyFont="1" applyBorder="1" applyAlignment="1" applyProtection="1">
      <alignment vertical="center"/>
    </xf>
    <xf numFmtId="169" fontId="2" fillId="0" borderId="4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" xfId="0" applyFont="1" applyBorder="1" applyProtection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 applyProtection="1"/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 applyProtection="1">
      <alignment vertical="center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 applyProtection="1"/>
    <xf numFmtId="1" fontId="1" fillId="0" borderId="0" xfId="0" applyNumberFormat="1" applyFont="1" applyAlignment="1" applyProtection="1">
      <alignment vertical="center"/>
    </xf>
    <xf numFmtId="0" fontId="1" fillId="0" borderId="15" xfId="0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Fill="1" applyBorder="1" applyAlignment="1" applyProtection="1">
      <alignment horizontal="center" vertical="center"/>
    </xf>
    <xf numFmtId="4" fontId="2" fillId="0" borderId="45" xfId="0" applyNumberFormat="1" applyFont="1" applyFill="1" applyBorder="1" applyAlignment="1" applyProtection="1">
      <alignment horizontal="center" vertical="center"/>
    </xf>
    <xf numFmtId="2" fontId="2" fillId="0" borderId="51" xfId="0" applyNumberFormat="1" applyFont="1" applyFill="1" applyBorder="1" applyAlignment="1" applyProtection="1">
      <alignment horizontal="center" vertical="center"/>
      <protection locked="0"/>
    </xf>
    <xf numFmtId="3" fontId="2" fillId="0" borderId="53" xfId="0" applyNumberFormat="1" applyFont="1" applyFill="1" applyBorder="1" applyAlignment="1" applyProtection="1">
      <alignment horizontal="center" vertical="center"/>
    </xf>
    <xf numFmtId="3" fontId="2" fillId="0" borderId="39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169" fontId="2" fillId="0" borderId="2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 applyProtection="1">
      <alignment horizontal="center" vertical="center"/>
    </xf>
    <xf numFmtId="170" fontId="2" fillId="0" borderId="26" xfId="0" applyNumberFormat="1" applyFont="1" applyFill="1" applyBorder="1" applyAlignment="1" applyProtection="1">
      <alignment vertical="center"/>
    </xf>
    <xf numFmtId="170" fontId="2" fillId="0" borderId="0" xfId="0" applyNumberFormat="1" applyFont="1" applyFill="1" applyBorder="1" applyAlignment="1" applyProtection="1">
      <alignment vertical="center"/>
    </xf>
    <xf numFmtId="175" fontId="2" fillId="0" borderId="24" xfId="0" applyNumberFormat="1" applyFont="1" applyFill="1" applyBorder="1" applyAlignment="1" applyProtection="1">
      <alignment vertical="center"/>
    </xf>
    <xf numFmtId="169" fontId="2" fillId="0" borderId="24" xfId="0" applyNumberFormat="1" applyFont="1" applyFill="1" applyBorder="1" applyAlignment="1" applyProtection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 applyProtection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 applyProtection="1">
      <alignment horizontal="center" vertical="center"/>
    </xf>
    <xf numFmtId="3" fontId="2" fillId="0" borderId="25" xfId="0" applyNumberFormat="1" applyFont="1" applyFill="1" applyBorder="1" applyAlignment="1" applyProtection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Fill="1" applyBorder="1" applyAlignment="1" applyProtection="1">
      <alignment horizontal="left" vertical="center" indent="2"/>
    </xf>
    <xf numFmtId="0" fontId="11" fillId="0" borderId="15" xfId="0" applyFont="1" applyFill="1" applyBorder="1" applyAlignment="1" applyProtection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 applyProtection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 applyProtection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9" fontId="2" fillId="0" borderId="39" xfId="0" applyNumberFormat="1" applyFont="1" applyBorder="1" applyAlignment="1" applyProtection="1">
      <alignment horizontal="right" vertical="center"/>
    </xf>
    <xf numFmtId="169" fontId="2" fillId="0" borderId="4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/>
    <xf numFmtId="169" fontId="7" fillId="0" borderId="21" xfId="6" applyNumberFormat="1" applyFont="1" applyBorder="1" applyAlignment="1" applyProtection="1">
      <alignment vertical="center"/>
    </xf>
    <xf numFmtId="0" fontId="15" fillId="0" borderId="2" xfId="0" applyFont="1" applyBorder="1" applyAlignment="1" applyProtection="1">
      <alignment horizontal="right" vertical="center"/>
    </xf>
    <xf numFmtId="10" fontId="5" fillId="0" borderId="2" xfId="0" applyNumberFormat="1" applyFont="1" applyBorder="1" applyAlignment="1" applyProtection="1">
      <alignment horizontal="center" vertical="center"/>
    </xf>
    <xf numFmtId="10" fontId="2" fillId="0" borderId="2" xfId="0" applyNumberFormat="1" applyFont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0" fontId="1" fillId="0" borderId="1" xfId="0" applyFont="1" applyFill="1" applyBorder="1" applyProtection="1"/>
    <xf numFmtId="169" fontId="5" fillId="0" borderId="13" xfId="0" applyNumberFormat="1" applyFont="1" applyFill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 applyProtection="1">
      <alignment vertical="center"/>
    </xf>
    <xf numFmtId="169" fontId="7" fillId="0" borderId="30" xfId="0" applyNumberFormat="1" applyFont="1" applyBorder="1" applyAlignment="1" applyProtection="1">
      <alignment vertical="center"/>
    </xf>
    <xf numFmtId="169" fontId="11" fillId="3" borderId="27" xfId="0" applyNumberFormat="1" applyFont="1" applyFill="1" applyBorder="1" applyAlignment="1" applyProtection="1">
      <alignment vertical="center"/>
    </xf>
    <xf numFmtId="169" fontId="7" fillId="0" borderId="61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 textRotation="90"/>
    </xf>
    <xf numFmtId="0" fontId="6" fillId="0" borderId="26" xfId="0" applyFont="1" applyFill="1" applyBorder="1" applyAlignment="1" applyProtection="1">
      <alignment horizontal="left" vertical="center"/>
    </xf>
    <xf numFmtId="0" fontId="6" fillId="0" borderId="29" xfId="0" applyFont="1" applyFill="1" applyBorder="1" applyAlignment="1" applyProtection="1">
      <alignment horizontal="left" vertical="center"/>
    </xf>
    <xf numFmtId="0" fontId="2" fillId="0" borderId="16" xfId="0" applyFont="1" applyFill="1" applyBorder="1" applyAlignment="1" applyProtection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0" borderId="73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</xf>
    <xf numFmtId="2" fontId="7" fillId="0" borderId="46" xfId="0" applyNumberFormat="1" applyFont="1" applyFill="1" applyBorder="1" applyAlignment="1" applyProtection="1">
      <alignment horizontal="center" vertical="center"/>
    </xf>
    <xf numFmtId="169" fontId="7" fillId="0" borderId="47" xfId="0" applyNumberFormat="1" applyFont="1" applyFill="1" applyBorder="1" applyAlignment="1" applyProtection="1">
      <alignment vertical="center"/>
    </xf>
    <xf numFmtId="169" fontId="7" fillId="0" borderId="47" xfId="0" applyNumberFormat="1" applyFont="1" applyFill="1" applyBorder="1" applyAlignment="1" applyProtection="1">
      <alignment vertical="center"/>
      <protection locked="0"/>
    </xf>
    <xf numFmtId="2" fontId="7" fillId="0" borderId="56" xfId="0" applyNumberFormat="1" applyFont="1" applyFill="1" applyBorder="1" applyAlignment="1" applyProtection="1">
      <alignment horizontal="center" vertical="center"/>
    </xf>
    <xf numFmtId="3" fontId="7" fillId="0" borderId="56" xfId="0" applyNumberFormat="1" applyFont="1" applyFill="1" applyBorder="1" applyAlignment="1" applyProtection="1">
      <alignment horizontal="center" vertical="center"/>
    </xf>
    <xf numFmtId="3" fontId="7" fillId="0" borderId="46" xfId="0" applyNumberFormat="1" applyFont="1" applyFill="1" applyBorder="1" applyAlignment="1" applyProtection="1">
      <alignment horizontal="center" vertical="center"/>
    </xf>
    <xf numFmtId="4" fontId="7" fillId="0" borderId="46" xfId="0" applyNumberFormat="1" applyFont="1" applyFill="1" applyBorder="1" applyAlignment="1" applyProtection="1">
      <alignment horizontal="center" vertical="center"/>
    </xf>
    <xf numFmtId="0" fontId="22" fillId="0" borderId="34" xfId="0" applyFont="1" applyBorder="1" applyAlignment="1" applyProtection="1">
      <alignment horizontal="center" vertical="center"/>
    </xf>
    <xf numFmtId="0" fontId="22" fillId="0" borderId="30" xfId="0" applyFont="1" applyBorder="1" applyAlignment="1" applyProtection="1">
      <alignment horizontal="center" vertical="center"/>
    </xf>
    <xf numFmtId="0" fontId="22" fillId="0" borderId="30" xfId="0" applyFont="1" applyFill="1" applyBorder="1" applyAlignment="1" applyProtection="1">
      <alignment horizontal="center" vertical="center"/>
    </xf>
    <xf numFmtId="0" fontId="22" fillId="0" borderId="41" xfId="0" applyFont="1" applyBorder="1" applyAlignment="1" applyProtection="1">
      <alignment horizontal="center" vertical="center"/>
    </xf>
    <xf numFmtId="192" fontId="2" fillId="0" borderId="0" xfId="0" applyNumberFormat="1" applyFont="1" applyBorder="1" applyAlignment="1" applyProtection="1">
      <alignment horizontal="left" vertical="center"/>
    </xf>
    <xf numFmtId="192" fontId="2" fillId="0" borderId="0" xfId="0" applyNumberFormat="1" applyFont="1" applyBorder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</xf>
    <xf numFmtId="0" fontId="22" fillId="0" borderId="38" xfId="0" applyFont="1" applyBorder="1" applyAlignment="1" applyProtection="1">
      <alignment vertical="center" wrapText="1"/>
    </xf>
    <xf numFmtId="169" fontId="5" fillId="0" borderId="9" xfId="0" applyNumberFormat="1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22" fillId="0" borderId="38" xfId="0" applyFont="1" applyBorder="1" applyAlignment="1">
      <alignment vertical="center" wrapText="1"/>
    </xf>
    <xf numFmtId="169" fontId="6" fillId="0" borderId="9" xfId="0" applyNumberFormat="1" applyFont="1" applyBorder="1" applyAlignment="1" applyProtection="1">
      <alignment horizontal="center" vertical="center"/>
    </xf>
    <xf numFmtId="169" fontId="2" fillId="0" borderId="9" xfId="0" applyNumberFormat="1" applyFont="1" applyBorder="1" applyAlignment="1" applyProtection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horizontal="right"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169" fontId="7" fillId="0" borderId="3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 applyProtection="1">
      <alignment horizontal="right" vertical="center"/>
    </xf>
    <xf numFmtId="191" fontId="27" fillId="3" borderId="63" xfId="0" applyNumberFormat="1" applyFont="1" applyFill="1" applyBorder="1" applyAlignment="1" applyProtection="1">
      <alignment horizontal="right" vertical="center"/>
    </xf>
    <xf numFmtId="0" fontId="16" fillId="0" borderId="61" xfId="0" applyFont="1" applyBorder="1" applyAlignment="1" applyProtection="1">
      <alignment horizontal="center" vertical="center" wrapText="1"/>
    </xf>
    <xf numFmtId="0" fontId="16" fillId="0" borderId="62" xfId="0" applyFont="1" applyBorder="1" applyAlignment="1" applyProtection="1">
      <alignment horizontal="center" vertical="center"/>
    </xf>
    <xf numFmtId="0" fontId="16" fillId="0" borderId="63" xfId="0" applyFont="1" applyBorder="1" applyAlignment="1" applyProtection="1">
      <alignment horizontal="center" vertical="center"/>
    </xf>
    <xf numFmtId="0" fontId="16" fillId="0" borderId="29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 textRotation="90"/>
    </xf>
    <xf numFmtId="0" fontId="6" fillId="0" borderId="26" xfId="0" applyFont="1" applyBorder="1" applyAlignment="1" applyProtection="1">
      <alignment horizontal="center" vertical="center" textRotation="90"/>
    </xf>
    <xf numFmtId="0" fontId="6" fillId="0" borderId="29" xfId="0" applyFont="1" applyBorder="1" applyAlignment="1" applyProtection="1">
      <alignment horizontal="center" vertical="center" textRotation="90"/>
    </xf>
    <xf numFmtId="0" fontId="6" fillId="0" borderId="55" xfId="0" applyFont="1" applyBorder="1" applyAlignment="1" applyProtection="1">
      <alignment horizontal="center" vertical="center" textRotation="90"/>
    </xf>
    <xf numFmtId="0" fontId="6" fillId="0" borderId="50" xfId="0" applyFont="1" applyBorder="1" applyAlignment="1" applyProtection="1">
      <alignment horizontal="center" vertical="center" textRotation="90"/>
    </xf>
    <xf numFmtId="0" fontId="6" fillId="0" borderId="56" xfId="0" applyFont="1" applyBorder="1" applyAlignment="1" applyProtection="1">
      <alignment horizontal="center" vertical="center" textRotation="90"/>
    </xf>
    <xf numFmtId="0" fontId="6" fillId="0" borderId="32" xfId="0" applyFont="1" applyBorder="1" applyAlignment="1" applyProtection="1">
      <alignment horizontal="center" vertical="center" textRotation="90"/>
    </xf>
    <xf numFmtId="0" fontId="6" fillId="0" borderId="45" xfId="0" applyFont="1" applyBorder="1" applyAlignment="1" applyProtection="1">
      <alignment horizontal="center" vertical="center" textRotation="90"/>
    </xf>
    <xf numFmtId="0" fontId="6" fillId="0" borderId="46" xfId="0" applyFont="1" applyBorder="1" applyAlignment="1" applyProtection="1">
      <alignment horizontal="center" vertical="center" textRotation="90"/>
    </xf>
    <xf numFmtId="0" fontId="6" fillId="0" borderId="44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center" vertical="center"/>
    </xf>
    <xf numFmtId="0" fontId="18" fillId="0" borderId="61" xfId="0" applyFont="1" applyFill="1" applyBorder="1" applyAlignment="1" applyProtection="1">
      <alignment horizontal="center" vertical="center"/>
    </xf>
    <xf numFmtId="0" fontId="18" fillId="0" borderId="63" xfId="0" applyFont="1" applyFill="1" applyBorder="1" applyAlignment="1" applyProtection="1">
      <alignment horizontal="center" vertical="center"/>
    </xf>
    <xf numFmtId="0" fontId="16" fillId="0" borderId="44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12" fillId="0" borderId="32" xfId="0" applyFont="1" applyBorder="1" applyAlignment="1" applyProtection="1">
      <alignment horizontal="center" vertical="center" textRotation="90"/>
    </xf>
    <xf numFmtId="0" fontId="12" fillId="0" borderId="46" xfId="0" applyFont="1" applyBorder="1" applyAlignment="1" applyProtection="1">
      <alignment horizontal="center" vertical="center" textRotation="90"/>
    </xf>
    <xf numFmtId="0" fontId="6" fillId="0" borderId="44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 textRotation="90"/>
    </xf>
    <xf numFmtId="0" fontId="12" fillId="0" borderId="56" xfId="0" applyFont="1" applyBorder="1" applyAlignment="1" applyProtection="1">
      <alignment horizontal="center" vertical="center" textRotation="90"/>
    </xf>
    <xf numFmtId="0" fontId="12" fillId="0" borderId="58" xfId="0" applyFont="1" applyBorder="1" applyAlignment="1" applyProtection="1">
      <alignment horizontal="center" vertical="center" textRotation="90"/>
    </xf>
    <xf numFmtId="0" fontId="12" fillId="0" borderId="57" xfId="0" applyFont="1" applyBorder="1" applyAlignment="1" applyProtection="1">
      <alignment horizontal="center" vertical="center" textRotation="90"/>
    </xf>
    <xf numFmtId="0" fontId="11" fillId="0" borderId="61" xfId="0" applyFont="1" applyBorder="1" applyAlignment="1" applyProtection="1">
      <alignment horizontal="center" vertical="center"/>
    </xf>
    <xf numFmtId="0" fontId="11" fillId="0" borderId="62" xfId="0" applyFont="1" applyBorder="1" applyAlignment="1" applyProtection="1">
      <alignment horizontal="center" vertical="center"/>
    </xf>
    <xf numFmtId="0" fontId="11" fillId="0" borderId="63" xfId="0" applyFont="1" applyBorder="1" applyAlignment="1" applyProtection="1">
      <alignment horizontal="center" vertical="center"/>
    </xf>
    <xf numFmtId="169" fontId="5" fillId="0" borderId="2" xfId="0" applyNumberFormat="1" applyFont="1" applyBorder="1" applyAlignment="1" applyProtection="1">
      <alignment horizontal="right" vertical="center"/>
    </xf>
    <xf numFmtId="0" fontId="15" fillId="0" borderId="4" xfId="0" applyFont="1" applyBorder="1" applyAlignment="1" applyProtection="1">
      <alignment horizontal="center" vertical="center"/>
    </xf>
    <xf numFmtId="0" fontId="21" fillId="0" borderId="40" xfId="0" applyFont="1" applyBorder="1" applyAlignment="1" applyProtection="1">
      <alignment horizontal="center" vertical="center" wrapText="1"/>
    </xf>
    <xf numFmtId="0" fontId="21" fillId="0" borderId="74" xfId="0" applyFont="1" applyBorder="1" applyAlignment="1" applyProtection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</xf>
    <xf numFmtId="169" fontId="5" fillId="0" borderId="5" xfId="0" applyNumberFormat="1" applyFont="1" applyBorder="1" applyAlignment="1" applyProtection="1">
      <alignment horizontal="right" vertical="center"/>
    </xf>
    <xf numFmtId="169" fontId="5" fillId="0" borderId="11" xfId="0" applyNumberFormat="1" applyFont="1" applyBorder="1" applyAlignment="1" applyProtection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Fill="1" applyBorder="1" applyAlignment="1" applyProtection="1">
      <alignment horizontal="center" vertical="center"/>
      <protection locked="0"/>
    </xf>
    <xf numFmtId="4" fontId="5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169" fontId="5" fillId="0" borderId="12" xfId="0" applyNumberFormat="1" applyFont="1" applyBorder="1" applyAlignment="1" applyProtection="1">
      <alignment horizontal="right" vertical="center"/>
    </xf>
    <xf numFmtId="169" fontId="5" fillId="0" borderId="8" xfId="0" applyNumberFormat="1" applyFont="1" applyBorder="1" applyAlignment="1" applyProtection="1">
      <alignment horizontal="right" vertical="center"/>
    </xf>
    <xf numFmtId="169" fontId="5" fillId="0" borderId="48" xfId="0" applyNumberFormat="1" applyFont="1" applyBorder="1" applyAlignment="1" applyProtection="1">
      <alignment horizontal="right" vertical="center"/>
    </xf>
    <xf numFmtId="169" fontId="5" fillId="0" borderId="3" xfId="0" applyNumberFormat="1" applyFont="1" applyBorder="1" applyAlignment="1" applyProtection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Fill="1" applyBorder="1" applyAlignment="1" applyProtection="1">
      <alignment horizontal="center" vertical="center"/>
    </xf>
    <xf numFmtId="0" fontId="18" fillId="0" borderId="26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 applyProtection="1">
      <alignment horizontal="center" vertical="center" wrapText="1"/>
    </xf>
    <xf numFmtId="0" fontId="21" fillId="0" borderId="75" xfId="0" applyFont="1" applyBorder="1" applyAlignment="1" applyProtection="1">
      <alignment horizontal="center" vertical="center"/>
    </xf>
    <xf numFmtId="2" fontId="7" fillId="0" borderId="46" xfId="0" applyNumberFormat="1" applyFont="1" applyFill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wrapText="1"/>
    </xf>
    <xf numFmtId="0" fontId="2" fillId="0" borderId="16" xfId="0" applyFont="1" applyBorder="1" applyAlignment="1" applyProtection="1">
      <alignment horizontal="center" wrapText="1"/>
    </xf>
    <xf numFmtId="0" fontId="2" fillId="0" borderId="18" xfId="0" applyFont="1" applyBorder="1" applyAlignment="1" applyProtection="1">
      <alignment horizontal="center" wrapText="1"/>
    </xf>
    <xf numFmtId="0" fontId="29" fillId="0" borderId="32" xfId="0" applyFont="1" applyBorder="1" applyAlignment="1" applyProtection="1">
      <alignment horizontal="center" vertical="center" wrapText="1"/>
    </xf>
    <xf numFmtId="0" fontId="29" fillId="0" borderId="32" xfId="0" applyFont="1" applyBorder="1" applyAlignment="1" applyProtection="1">
      <alignment horizontal="center" vertical="center"/>
    </xf>
    <xf numFmtId="0" fontId="9" fillId="0" borderId="61" xfId="0" applyFont="1" applyBorder="1" applyAlignment="1" applyProtection="1">
      <alignment horizontal="center" vertical="center" wrapText="1"/>
    </xf>
    <xf numFmtId="0" fontId="9" fillId="0" borderId="62" xfId="0" applyFont="1" applyBorder="1" applyAlignment="1" applyProtection="1">
      <alignment horizontal="center" vertical="center" wrapText="1"/>
    </xf>
    <xf numFmtId="0" fontId="9" fillId="0" borderId="63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31" fillId="0" borderId="26" xfId="0" applyFont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 wrapText="1"/>
    </xf>
    <xf numFmtId="0" fontId="19" fillId="0" borderId="59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vertical="center" wrapText="1"/>
    </xf>
    <xf numFmtId="0" fontId="6" fillId="0" borderId="58" xfId="0" applyFont="1" applyBorder="1" applyAlignment="1" applyProtection="1">
      <alignment horizontal="center" vertical="center" textRotation="90"/>
    </xf>
    <xf numFmtId="0" fontId="6" fillId="0" borderId="51" xfId="0" applyFont="1" applyBorder="1" applyAlignment="1" applyProtection="1">
      <alignment horizontal="center" vertical="center" textRotation="90"/>
    </xf>
    <xf numFmtId="0" fontId="6" fillId="0" borderId="57" xfId="0" applyFont="1" applyBorder="1" applyAlignment="1" applyProtection="1">
      <alignment horizontal="center" vertical="center" textRotation="90"/>
    </xf>
    <xf numFmtId="4" fontId="5" fillId="0" borderId="45" xfId="0" applyNumberFormat="1" applyFont="1" applyFill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vertical="center"/>
    </xf>
    <xf numFmtId="3" fontId="5" fillId="0" borderId="39" xfId="0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66" xfId="0" applyFont="1" applyBorder="1" applyAlignment="1" applyProtection="1">
      <alignment horizontal="center" vertical="center" wrapText="1"/>
    </xf>
    <xf numFmtId="2" fontId="6" fillId="0" borderId="16" xfId="0" applyNumberFormat="1" applyFont="1" applyFill="1" applyBorder="1" applyAlignment="1" applyProtection="1">
      <alignment vertical="center"/>
    </xf>
    <xf numFmtId="2" fontId="6" fillId="0" borderId="18" xfId="0" applyNumberFormat="1" applyFont="1" applyFill="1" applyBorder="1" applyAlignment="1" applyProtection="1">
      <alignment vertical="center"/>
    </xf>
    <xf numFmtId="0" fontId="16" fillId="0" borderId="61" xfId="0" applyFont="1" applyFill="1" applyBorder="1" applyAlignment="1" applyProtection="1">
      <alignment horizontal="center" vertical="center"/>
    </xf>
    <xf numFmtId="0" fontId="16" fillId="0" borderId="62" xfId="0" applyFont="1" applyFill="1" applyBorder="1" applyAlignment="1" applyProtection="1">
      <alignment horizontal="center" vertical="center"/>
    </xf>
    <xf numFmtId="0" fontId="16" fillId="0" borderId="63" xfId="0" applyFont="1" applyFill="1" applyBorder="1" applyAlignment="1" applyProtection="1">
      <alignment horizontal="center" vertical="center"/>
    </xf>
    <xf numFmtId="0" fontId="16" fillId="0" borderId="26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vertical="center"/>
    </xf>
    <xf numFmtId="2" fontId="6" fillId="0" borderId="1" xfId="0" applyNumberFormat="1" applyFont="1" applyFill="1" applyBorder="1" applyAlignment="1" applyProtection="1">
      <alignment vertic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</xf>
    <xf numFmtId="4" fontId="5" fillId="0" borderId="5" xfId="0" applyNumberFormat="1" applyFont="1" applyBorder="1" applyAlignment="1" applyProtection="1">
      <alignment horizontal="center" vertical="center"/>
    </xf>
    <xf numFmtId="169" fontId="5" fillId="0" borderId="14" xfId="0" applyNumberFormat="1" applyFont="1" applyBorder="1" applyAlignment="1" applyProtection="1">
      <alignment horizontal="right" vertical="center"/>
    </xf>
    <xf numFmtId="169" fontId="5" fillId="0" borderId="66" xfId="0" applyNumberFormat="1" applyFont="1" applyBorder="1" applyAlignment="1" applyProtection="1">
      <alignment horizontal="right" vertical="center"/>
    </xf>
    <xf numFmtId="0" fontId="15" fillId="0" borderId="48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7" fontId="27" fillId="3" borderId="62" xfId="0" applyNumberFormat="1" applyFont="1" applyFill="1" applyBorder="1" applyAlignment="1" applyProtection="1">
      <alignment horizontal="right" vertical="center"/>
    </xf>
    <xf numFmtId="17" fontId="27" fillId="3" borderId="63" xfId="0" applyNumberFormat="1" applyFont="1" applyFill="1" applyBorder="1" applyAlignment="1" applyProtection="1">
      <alignment horizontal="right" vertical="center"/>
    </xf>
    <xf numFmtId="3" fontId="7" fillId="0" borderId="46" xfId="0" applyNumberFormat="1" applyFont="1" applyFill="1" applyBorder="1" applyAlignment="1" applyProtection="1">
      <alignment horizontal="center" vertical="center"/>
    </xf>
    <xf numFmtId="3" fontId="5" fillId="0" borderId="39" xfId="0" applyNumberFormat="1" applyFont="1" applyFill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6" fillId="0" borderId="48" xfId="0" applyNumberFormat="1" applyFont="1" applyBorder="1" applyAlignment="1" applyProtection="1">
      <alignment horizontal="center" vertical="center"/>
    </xf>
    <xf numFmtId="169" fontId="6" fillId="0" borderId="3" xfId="0" applyNumberFormat="1" applyFont="1" applyBorder="1" applyAlignment="1" applyProtection="1">
      <alignment horizontal="center" vertical="center"/>
    </xf>
    <xf numFmtId="169" fontId="6" fillId="0" borderId="12" xfId="0" applyNumberFormat="1" applyFont="1" applyBorder="1" applyAlignment="1" applyProtection="1">
      <alignment horizontal="center" vertical="center"/>
    </xf>
    <xf numFmtId="169" fontId="6" fillId="0" borderId="8" xfId="0" applyNumberFormat="1" applyFont="1" applyBorder="1" applyAlignment="1" applyProtection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 applyProtection="1">
      <alignment horizontal="right" vertical="center"/>
    </xf>
    <xf numFmtId="169" fontId="2" fillId="0" borderId="5" xfId="0" applyNumberFormat="1" applyFont="1" applyBorder="1" applyAlignment="1" applyProtection="1">
      <alignment horizontal="right" vertical="center"/>
    </xf>
    <xf numFmtId="4" fontId="2" fillId="0" borderId="45" xfId="0" applyNumberFormat="1" applyFont="1" applyFill="1" applyBorder="1" applyAlignment="1" applyProtection="1">
      <alignment horizontal="center" vertical="center"/>
    </xf>
    <xf numFmtId="3" fontId="2" fillId="0" borderId="39" xfId="0" applyNumberFormat="1" applyFont="1" applyFill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 wrapText="1"/>
    </xf>
    <xf numFmtId="0" fontId="7" fillId="0" borderId="62" xfId="0" applyFont="1" applyBorder="1" applyAlignment="1" applyProtection="1">
      <alignment horizontal="center" vertical="center" wrapText="1"/>
    </xf>
    <xf numFmtId="0" fontId="7" fillId="0" borderId="63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 applyProtection="1">
      <alignment horizontal="right" vertical="center"/>
    </xf>
    <xf numFmtId="169" fontId="2" fillId="0" borderId="3" xfId="0" applyNumberFormat="1" applyFont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vertical="center"/>
      <protection locked="0"/>
    </xf>
    <xf numFmtId="169" fontId="2" fillId="0" borderId="12" xfId="0" applyNumberFormat="1" applyFont="1" applyBorder="1" applyAlignment="1" applyProtection="1">
      <alignment horizontal="right" vertical="center"/>
    </xf>
    <xf numFmtId="169" fontId="2" fillId="0" borderId="8" xfId="0" applyNumberFormat="1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 applyProtection="1">
      <alignment horizontal="right" vertical="center"/>
    </xf>
    <xf numFmtId="169" fontId="2" fillId="0" borderId="66" xfId="0" applyNumberFormat="1" applyFont="1" applyBorder="1" applyAlignment="1" applyProtection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Fill="1" applyBorder="1" applyAlignment="1">
      <alignment horizontal="center" vertical="center"/>
    </xf>
    <xf numFmtId="169" fontId="3" fillId="0" borderId="25" xfId="0" applyNumberFormat="1" applyFont="1" applyFill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19050</xdr:rowOff>
        </xdr:from>
        <xdr:to>
          <xdr:col>8</xdr:col>
          <xdr:colOff>581025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142875</xdr:rowOff>
        </xdr:from>
        <xdr:to>
          <xdr:col>8</xdr:col>
          <xdr:colOff>552450</xdr:colOff>
          <xdr:row>2</xdr:row>
          <xdr:rowOff>171450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542925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590550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171450</xdr:rowOff>
        </xdr:from>
        <xdr:to>
          <xdr:col>8</xdr:col>
          <xdr:colOff>552450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19050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542925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9525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mmdaten%20Lohnpro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/>
          <cell r="B4"/>
          <cell r="C4"/>
          <cell r="D4"/>
          <cell r="E4"/>
          <cell r="F4"/>
        </row>
        <row r="10">
          <cell r="A10">
            <v>44927</v>
          </cell>
          <cell r="B10">
            <v>31</v>
          </cell>
        </row>
        <row r="11">
          <cell r="A11">
            <v>44958</v>
          </cell>
          <cell r="B11">
            <v>28</v>
          </cell>
        </row>
        <row r="12">
          <cell r="A12">
            <v>44986</v>
          </cell>
          <cell r="B12">
            <v>31</v>
          </cell>
        </row>
        <row r="13">
          <cell r="A13">
            <v>45017</v>
          </cell>
          <cell r="B13">
            <v>30</v>
          </cell>
        </row>
        <row r="14">
          <cell r="A14">
            <v>45047</v>
          </cell>
        </row>
        <row r="15">
          <cell r="A15">
            <v>45078</v>
          </cell>
          <cell r="B15">
            <v>30</v>
          </cell>
        </row>
        <row r="16">
          <cell r="A16" t="str">
            <v>14. M.</v>
          </cell>
        </row>
        <row r="17">
          <cell r="A17">
            <v>45108</v>
          </cell>
          <cell r="B17">
            <v>31</v>
          </cell>
        </row>
        <row r="18">
          <cell r="A18">
            <v>45139</v>
          </cell>
          <cell r="B18">
            <v>31</v>
          </cell>
        </row>
        <row r="19">
          <cell r="A19">
            <v>45170</v>
          </cell>
          <cell r="B19">
            <v>30</v>
          </cell>
        </row>
        <row r="20">
          <cell r="A20">
            <v>45200</v>
          </cell>
          <cell r="B20">
            <v>31</v>
          </cell>
        </row>
        <row r="21">
          <cell r="A21">
            <v>45231</v>
          </cell>
          <cell r="B21">
            <v>30</v>
          </cell>
        </row>
        <row r="22">
          <cell r="A22" t="str">
            <v>13. M.</v>
          </cell>
        </row>
        <row r="23">
          <cell r="A23">
            <v>45261</v>
          </cell>
          <cell r="B23">
            <v>31</v>
          </cell>
        </row>
        <row r="24">
          <cell r="B24">
            <v>365</v>
          </cell>
          <cell r="C24">
            <v>365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Mustermann Max</v>
          </cell>
          <cell r="C5" t="str">
            <v>39100 Bozen, Brennerstrasse 2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44075</v>
          </cell>
          <cell r="H5"/>
          <cell r="I5">
            <v>135</v>
          </cell>
          <cell r="J5">
            <v>62</v>
          </cell>
          <cell r="K5">
            <v>27000</v>
          </cell>
          <cell r="L5"/>
          <cell r="M5">
            <v>2066.5100000000002</v>
          </cell>
          <cell r="N5">
            <v>690</v>
          </cell>
          <cell r="O5">
            <v>679.92</v>
          </cell>
          <cell r="P5">
            <v>993.76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2200</v>
          </cell>
          <cell r="V5" t="str">
            <v>Ja</v>
          </cell>
          <cell r="W5" t="str">
            <v>Nein</v>
          </cell>
          <cell r="X5">
            <v>3</v>
          </cell>
          <cell r="Y5">
            <v>1</v>
          </cell>
          <cell r="Z5"/>
          <cell r="AA5"/>
          <cell r="AB5">
            <v>2</v>
          </cell>
          <cell r="AC5">
            <v>2363.6800000000003</v>
          </cell>
        </row>
        <row r="6">
          <cell r="A6">
            <v>2</v>
          </cell>
          <cell r="B6" t="str">
            <v>Mustermann Maria</v>
          </cell>
          <cell r="C6" t="str">
            <v>39012 Meran, Rennweg 27</v>
          </cell>
          <cell r="D6">
            <v>32905</v>
          </cell>
          <cell r="E6" t="str">
            <v>Meran</v>
          </cell>
          <cell r="F6" t="str">
            <v>AAABBB84B11B220G</v>
          </cell>
          <cell r="G6">
            <v>44531</v>
          </cell>
          <cell r="H6"/>
          <cell r="I6">
            <v>85</v>
          </cell>
          <cell r="J6">
            <v>44</v>
          </cell>
          <cell r="K6">
            <v>22000</v>
          </cell>
          <cell r="L6"/>
          <cell r="M6">
            <v>2459.19</v>
          </cell>
          <cell r="N6">
            <v>690</v>
          </cell>
          <cell r="O6">
            <v>0</v>
          </cell>
          <cell r="P6">
            <v>0</v>
          </cell>
          <cell r="Q6">
            <v>3.0000000000000001E-3</v>
          </cell>
          <cell r="R6">
            <v>5.4999999999999997E-3</v>
          </cell>
          <cell r="S6">
            <v>1.23E-2</v>
          </cell>
          <cell r="T6"/>
          <cell r="U6">
            <v>300</v>
          </cell>
          <cell r="V6" t="str">
            <v>Ja</v>
          </cell>
          <cell r="W6" t="str">
            <v>Nein</v>
          </cell>
          <cell r="X6"/>
          <cell r="Y6"/>
          <cell r="Z6"/>
          <cell r="AA6"/>
          <cell r="AB6"/>
          <cell r="AC6">
            <v>690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Mustermann Max</v>
          </cell>
          <cell r="C30">
            <v>1</v>
          </cell>
        </row>
        <row r="31">
          <cell r="A31">
            <v>2</v>
          </cell>
          <cell r="B31" t="str">
            <v>Mustermann Maria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Mustermann Max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 t="str">
            <v>Mustermann Maria</v>
          </cell>
          <cell r="C6">
            <v>5</v>
          </cell>
          <cell r="D6">
            <v>5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  <cell r="I6">
            <v>5</v>
          </cell>
          <cell r="J6">
            <v>5</v>
          </cell>
          <cell r="K6">
            <v>5</v>
          </cell>
          <cell r="L6">
            <v>5</v>
          </cell>
          <cell r="M6">
            <v>5</v>
          </cell>
          <cell r="N6">
            <v>5</v>
          </cell>
          <cell r="O6">
            <v>5</v>
          </cell>
          <cell r="P6">
            <v>5</v>
          </cell>
          <cell r="Q6">
            <v>75</v>
          </cell>
          <cell r="R6">
            <v>75</v>
          </cell>
          <cell r="S6">
            <v>75</v>
          </cell>
          <cell r="T6">
            <v>75</v>
          </cell>
          <cell r="U6">
            <v>75</v>
          </cell>
          <cell r="V6">
            <v>75</v>
          </cell>
          <cell r="W6">
            <v>75</v>
          </cell>
          <cell r="X6">
            <v>75</v>
          </cell>
          <cell r="Y6">
            <v>75</v>
          </cell>
          <cell r="Z6">
            <v>75</v>
          </cell>
          <cell r="AA6">
            <v>75</v>
          </cell>
          <cell r="AB6">
            <v>75</v>
          </cell>
          <cell r="AC6">
            <v>75</v>
          </cell>
          <cell r="AD6">
            <v>75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Mustermann Max</v>
          </cell>
          <cell r="C24">
            <v>300</v>
          </cell>
          <cell r="D24">
            <v>300</v>
          </cell>
          <cell r="E24">
            <v>300</v>
          </cell>
          <cell r="F24">
            <v>300</v>
          </cell>
          <cell r="G24">
            <v>300</v>
          </cell>
          <cell r="H24">
            <v>300</v>
          </cell>
          <cell r="I24">
            <v>300</v>
          </cell>
          <cell r="J24">
            <v>300</v>
          </cell>
          <cell r="K24">
            <v>300</v>
          </cell>
          <cell r="L24">
            <v>300</v>
          </cell>
          <cell r="M24">
            <v>300</v>
          </cell>
          <cell r="N24">
            <v>300</v>
          </cell>
          <cell r="O24">
            <v>300</v>
          </cell>
          <cell r="P24">
            <v>300</v>
          </cell>
        </row>
        <row r="25">
          <cell r="A25">
            <v>2</v>
          </cell>
          <cell r="B25" t="str">
            <v>Mustermann Maria</v>
          </cell>
          <cell r="C25">
            <v>120</v>
          </cell>
          <cell r="D25">
            <v>120</v>
          </cell>
          <cell r="E25">
            <v>120</v>
          </cell>
          <cell r="F25">
            <v>120</v>
          </cell>
          <cell r="G25">
            <v>120</v>
          </cell>
          <cell r="H25">
            <v>120</v>
          </cell>
          <cell r="I25">
            <v>120</v>
          </cell>
          <cell r="J25">
            <v>120</v>
          </cell>
          <cell r="K25">
            <v>120</v>
          </cell>
          <cell r="L25">
            <v>120</v>
          </cell>
          <cell r="M25">
            <v>120</v>
          </cell>
          <cell r="N25">
            <v>120</v>
          </cell>
          <cell r="O25">
            <v>120</v>
          </cell>
          <cell r="P25">
            <v>120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Mustermann Max</v>
          </cell>
          <cell r="C46">
            <v>2363.6800000000003</v>
          </cell>
          <cell r="D46">
            <v>2363.6800000000003</v>
          </cell>
          <cell r="E46">
            <v>2363.6800000000003</v>
          </cell>
          <cell r="F46">
            <v>2363.6800000000003</v>
          </cell>
          <cell r="G46">
            <v>2363.6800000000003</v>
          </cell>
          <cell r="H46">
            <v>2363.6800000000003</v>
          </cell>
          <cell r="I46"/>
          <cell r="J46">
            <v>2363.6800000000003</v>
          </cell>
          <cell r="K46">
            <v>2363.6800000000003</v>
          </cell>
          <cell r="L46">
            <v>2363.6800000000003</v>
          </cell>
          <cell r="M46">
            <v>2363.6800000000003</v>
          </cell>
          <cell r="N46">
            <v>2363.6800000000003</v>
          </cell>
          <cell r="O46"/>
          <cell r="P46">
            <v>2363.6800000000003</v>
          </cell>
          <cell r="Q46">
            <v>2</v>
          </cell>
          <cell r="R46">
            <v>2</v>
          </cell>
          <cell r="S46">
            <v>2</v>
          </cell>
          <cell r="T46">
            <v>2</v>
          </cell>
          <cell r="U46">
            <v>2</v>
          </cell>
          <cell r="V46">
            <v>2</v>
          </cell>
          <cell r="W46">
            <v>2</v>
          </cell>
          <cell r="X46">
            <v>2</v>
          </cell>
          <cell r="Y46">
            <v>2</v>
          </cell>
          <cell r="Z46">
            <v>2</v>
          </cell>
          <cell r="AA46">
            <v>2</v>
          </cell>
          <cell r="AB46">
            <v>2</v>
          </cell>
          <cell r="AC46">
            <v>2</v>
          </cell>
          <cell r="AD46">
            <v>2</v>
          </cell>
        </row>
        <row r="47">
          <cell r="A47">
            <v>2</v>
          </cell>
          <cell r="B47" t="str">
            <v>Mustermann Maria</v>
          </cell>
          <cell r="C47">
            <v>690</v>
          </cell>
          <cell r="D47">
            <v>690</v>
          </cell>
          <cell r="E47">
            <v>690</v>
          </cell>
          <cell r="F47">
            <v>690</v>
          </cell>
          <cell r="G47">
            <v>690</v>
          </cell>
          <cell r="H47">
            <v>690</v>
          </cell>
          <cell r="I47"/>
          <cell r="J47">
            <v>690</v>
          </cell>
          <cell r="K47">
            <v>690</v>
          </cell>
          <cell r="L47">
            <v>690</v>
          </cell>
          <cell r="M47">
            <v>690</v>
          </cell>
          <cell r="N47">
            <v>690</v>
          </cell>
          <cell r="O47"/>
          <cell r="P47">
            <v>690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  <cell r="U47">
            <v>1</v>
          </cell>
          <cell r="V47">
            <v>1</v>
          </cell>
          <cell r="W47">
            <v>1</v>
          </cell>
          <cell r="X47">
            <v>1</v>
          </cell>
          <cell r="Y47">
            <v>1</v>
          </cell>
          <cell r="Z47">
            <v>1</v>
          </cell>
          <cell r="AA47">
            <v>1</v>
          </cell>
          <cell r="AB47">
            <v>1</v>
          </cell>
          <cell r="AC47">
            <v>1</v>
          </cell>
          <cell r="AD47">
            <v>1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Mustermann Max</v>
          </cell>
          <cell r="C65">
            <v>135</v>
          </cell>
          <cell r="D65">
            <v>135</v>
          </cell>
          <cell r="E65">
            <v>135</v>
          </cell>
          <cell r="F65">
            <v>135</v>
          </cell>
          <cell r="G65">
            <v>135</v>
          </cell>
          <cell r="H65">
            <v>135</v>
          </cell>
          <cell r="I65"/>
          <cell r="J65">
            <v>135</v>
          </cell>
          <cell r="K65">
            <v>135</v>
          </cell>
          <cell r="L65">
            <v>135</v>
          </cell>
          <cell r="M65">
            <v>135</v>
          </cell>
          <cell r="N65">
            <v>135</v>
          </cell>
          <cell r="O65"/>
          <cell r="P65"/>
          <cell r="Q65">
            <v>62</v>
          </cell>
          <cell r="R65">
            <v>62</v>
          </cell>
          <cell r="S65">
            <v>62</v>
          </cell>
          <cell r="T65">
            <v>62</v>
          </cell>
          <cell r="U65">
            <v>62</v>
          </cell>
          <cell r="V65">
            <v>62</v>
          </cell>
          <cell r="W65"/>
          <cell r="X65">
            <v>62</v>
          </cell>
          <cell r="Y65">
            <v>62</v>
          </cell>
          <cell r="Z65">
            <v>62</v>
          </cell>
          <cell r="AA65">
            <v>62</v>
          </cell>
          <cell r="AB65">
            <v>62</v>
          </cell>
          <cell r="AC65"/>
          <cell r="AD65"/>
        </row>
        <row r="66">
          <cell r="A66">
            <v>2</v>
          </cell>
          <cell r="B66" t="str">
            <v>Mustermann Maria</v>
          </cell>
          <cell r="C66">
            <v>85</v>
          </cell>
          <cell r="D66">
            <v>85</v>
          </cell>
          <cell r="E66">
            <v>85</v>
          </cell>
          <cell r="F66">
            <v>85</v>
          </cell>
          <cell r="G66">
            <v>85</v>
          </cell>
          <cell r="H66">
            <v>85</v>
          </cell>
          <cell r="I66"/>
          <cell r="J66">
            <v>85</v>
          </cell>
          <cell r="K66">
            <v>85</v>
          </cell>
          <cell r="L66">
            <v>85</v>
          </cell>
          <cell r="M66">
            <v>85</v>
          </cell>
          <cell r="N66">
            <v>85</v>
          </cell>
          <cell r="O66"/>
          <cell r="P66"/>
          <cell r="Q66">
            <v>44</v>
          </cell>
          <cell r="R66">
            <v>44</v>
          </cell>
          <cell r="S66">
            <v>44</v>
          </cell>
          <cell r="T66">
            <v>44</v>
          </cell>
          <cell r="U66">
            <v>44</v>
          </cell>
          <cell r="V66">
            <v>44</v>
          </cell>
          <cell r="W66"/>
          <cell r="X66">
            <v>44</v>
          </cell>
          <cell r="Y66">
            <v>44</v>
          </cell>
          <cell r="Z66">
            <v>44</v>
          </cell>
          <cell r="AA66">
            <v>44</v>
          </cell>
          <cell r="AB66">
            <v>44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Mustermann Max</v>
          </cell>
          <cell r="C90">
            <v>14.43</v>
          </cell>
          <cell r="D90"/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/>
          <cell r="P90">
            <v>0</v>
          </cell>
          <cell r="Q90">
            <v>2.6666699999999999</v>
          </cell>
          <cell r="R90"/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/>
          <cell r="AD90">
            <v>0</v>
          </cell>
        </row>
        <row r="91">
          <cell r="A91">
            <v>2</v>
          </cell>
          <cell r="B91" t="str">
            <v>Mustermann Maria</v>
          </cell>
          <cell r="C91">
            <v>14.43</v>
          </cell>
          <cell r="D91"/>
          <cell r="E91"/>
          <cell r="F91"/>
          <cell r="G91"/>
          <cell r="H91"/>
          <cell r="I91"/>
          <cell r="J91"/>
          <cell r="K91"/>
          <cell r="L91"/>
          <cell r="M91"/>
          <cell r="N91"/>
          <cell r="O91"/>
          <cell r="P91"/>
          <cell r="Q91">
            <v>2.6666699999999999</v>
          </cell>
          <cell r="R91"/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/>
          <cell r="E92"/>
          <cell r="F92"/>
          <cell r="G92"/>
          <cell r="H92"/>
          <cell r="I92"/>
          <cell r="J92"/>
          <cell r="K92"/>
          <cell r="L92"/>
          <cell r="M92"/>
          <cell r="N92"/>
          <cell r="O92"/>
          <cell r="P92"/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/>
          <cell r="E93"/>
          <cell r="F93"/>
          <cell r="G93"/>
          <cell r="H93"/>
          <cell r="I93"/>
          <cell r="J93"/>
          <cell r="K93"/>
          <cell r="L93"/>
          <cell r="M93"/>
          <cell r="N93"/>
          <cell r="O93"/>
          <cell r="P93"/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/>
          <cell r="E94"/>
          <cell r="F94"/>
          <cell r="G94"/>
          <cell r="H94"/>
          <cell r="I94"/>
          <cell r="J94"/>
          <cell r="K94"/>
          <cell r="L94"/>
          <cell r="M94"/>
          <cell r="N94"/>
          <cell r="O94"/>
          <cell r="P94"/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/>
          <cell r="E96"/>
          <cell r="F96"/>
          <cell r="G96"/>
          <cell r="H96"/>
          <cell r="I96"/>
          <cell r="J96"/>
          <cell r="K96"/>
          <cell r="L96"/>
          <cell r="M96"/>
          <cell r="N96"/>
          <cell r="O96"/>
          <cell r="P96"/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/>
          <cell r="E97"/>
          <cell r="F97"/>
          <cell r="G97"/>
          <cell r="H97"/>
          <cell r="I97"/>
          <cell r="J97"/>
          <cell r="K97"/>
          <cell r="L97"/>
          <cell r="M97"/>
          <cell r="N97"/>
          <cell r="O97"/>
          <cell r="P97"/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/>
          <cell r="E98"/>
          <cell r="F98"/>
          <cell r="G98"/>
          <cell r="H98"/>
          <cell r="I98"/>
          <cell r="J98"/>
          <cell r="K98"/>
          <cell r="L98"/>
          <cell r="M98"/>
          <cell r="N98"/>
          <cell r="O98"/>
          <cell r="P98"/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/>
          <cell r="E99"/>
          <cell r="F99"/>
          <cell r="G99"/>
          <cell r="H99"/>
          <cell r="I99"/>
          <cell r="J99"/>
          <cell r="K99"/>
          <cell r="L99"/>
          <cell r="M99"/>
          <cell r="N99"/>
          <cell r="O99"/>
          <cell r="P99"/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/>
          <cell r="E100"/>
          <cell r="F100"/>
          <cell r="G100"/>
          <cell r="H100"/>
          <cell r="I100"/>
          <cell r="J100"/>
          <cell r="K100"/>
          <cell r="L100"/>
          <cell r="M100"/>
          <cell r="N100"/>
          <cell r="O100"/>
          <cell r="P100"/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  <cell r="N101"/>
          <cell r="O101"/>
          <cell r="P101"/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/>
          <cell r="E102"/>
          <cell r="F102"/>
          <cell r="G102"/>
          <cell r="H102"/>
          <cell r="I102"/>
          <cell r="J102"/>
          <cell r="K102"/>
          <cell r="L102"/>
          <cell r="M102"/>
          <cell r="N102"/>
          <cell r="O102"/>
          <cell r="P102"/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  <cell r="N103"/>
          <cell r="O103"/>
          <cell r="P103"/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/>
          <cell r="E104"/>
          <cell r="F104"/>
          <cell r="G104"/>
          <cell r="H104"/>
          <cell r="I104"/>
          <cell r="J104"/>
          <cell r="K104"/>
          <cell r="L104"/>
          <cell r="M104"/>
          <cell r="N104"/>
          <cell r="O104"/>
          <cell r="P104"/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1896.64</v>
          </cell>
          <cell r="C7">
            <v>1896.64</v>
          </cell>
          <cell r="D7">
            <v>1896.64</v>
          </cell>
          <cell r="E7">
            <v>1896.64</v>
          </cell>
          <cell r="F7">
            <v>1896.64</v>
          </cell>
          <cell r="G7">
            <v>1896.64</v>
          </cell>
          <cell r="H7">
            <v>1896.64</v>
          </cell>
          <cell r="I7">
            <v>1896.64</v>
          </cell>
          <cell r="J7">
            <v>1896.64</v>
          </cell>
          <cell r="K7">
            <v>1896.64</v>
          </cell>
          <cell r="L7">
            <v>1896.64</v>
          </cell>
          <cell r="M7">
            <v>1896.64</v>
          </cell>
          <cell r="N7">
            <v>1896.64</v>
          </cell>
          <cell r="O7">
            <v>1896.64</v>
          </cell>
        </row>
        <row r="8">
          <cell r="A8">
            <v>1</v>
          </cell>
          <cell r="B8">
            <v>1708.49</v>
          </cell>
          <cell r="C8">
            <v>1708.49</v>
          </cell>
          <cell r="D8">
            <v>1708.49</v>
          </cell>
          <cell r="E8">
            <v>1708.49</v>
          </cell>
          <cell r="F8">
            <v>1708.49</v>
          </cell>
          <cell r="G8">
            <v>1708.49</v>
          </cell>
          <cell r="H8">
            <v>1708.49</v>
          </cell>
          <cell r="I8">
            <v>1708.49</v>
          </cell>
          <cell r="J8">
            <v>1708.49</v>
          </cell>
          <cell r="K8">
            <v>1708.49</v>
          </cell>
          <cell r="L8">
            <v>1708.49</v>
          </cell>
          <cell r="M8">
            <v>1708.49</v>
          </cell>
          <cell r="N8">
            <v>1708.49</v>
          </cell>
          <cell r="O8">
            <v>1708.49</v>
          </cell>
        </row>
        <row r="9">
          <cell r="A9">
            <v>2</v>
          </cell>
          <cell r="B9">
            <v>1477.83</v>
          </cell>
          <cell r="C9">
            <v>1477.83</v>
          </cell>
          <cell r="D9">
            <v>1477.83</v>
          </cell>
          <cell r="E9">
            <v>1477.83</v>
          </cell>
          <cell r="F9">
            <v>1477.83</v>
          </cell>
          <cell r="G9">
            <v>1477.83</v>
          </cell>
          <cell r="H9">
            <v>1477.83</v>
          </cell>
          <cell r="I9">
            <v>1477.83</v>
          </cell>
          <cell r="J9">
            <v>1477.83</v>
          </cell>
          <cell r="K9">
            <v>1477.83</v>
          </cell>
          <cell r="L9">
            <v>1477.83</v>
          </cell>
          <cell r="M9">
            <v>1477.83</v>
          </cell>
          <cell r="N9">
            <v>1477.83</v>
          </cell>
          <cell r="O9">
            <v>1477.83</v>
          </cell>
        </row>
        <row r="10">
          <cell r="A10">
            <v>3</v>
          </cell>
          <cell r="B10">
            <v>1263.1400000000001</v>
          </cell>
          <cell r="C10">
            <v>1263.1400000000001</v>
          </cell>
          <cell r="D10">
            <v>1263.1400000000001</v>
          </cell>
          <cell r="E10">
            <v>1263.1400000000001</v>
          </cell>
          <cell r="F10">
            <v>1263.1400000000001</v>
          </cell>
          <cell r="G10">
            <v>1263.1400000000001</v>
          </cell>
          <cell r="H10">
            <v>1263.1400000000001</v>
          </cell>
          <cell r="I10">
            <v>1263.1400000000001</v>
          </cell>
          <cell r="J10">
            <v>1263.1400000000001</v>
          </cell>
          <cell r="K10">
            <v>1263.1400000000001</v>
          </cell>
          <cell r="L10">
            <v>1263.1400000000001</v>
          </cell>
          <cell r="M10">
            <v>1263.1400000000001</v>
          </cell>
          <cell r="N10">
            <v>1263.1400000000001</v>
          </cell>
          <cell r="O10">
            <v>1263.1400000000001</v>
          </cell>
        </row>
        <row r="11">
          <cell r="A11">
            <v>4</v>
          </cell>
          <cell r="B11">
            <v>1092.46</v>
          </cell>
          <cell r="C11">
            <v>1092.46</v>
          </cell>
          <cell r="D11">
            <v>1092.46</v>
          </cell>
          <cell r="E11">
            <v>1092.46</v>
          </cell>
          <cell r="F11">
            <v>1092.46</v>
          </cell>
          <cell r="G11">
            <v>1092.46</v>
          </cell>
          <cell r="H11">
            <v>1092.46</v>
          </cell>
          <cell r="I11">
            <v>1092.46</v>
          </cell>
          <cell r="J11">
            <v>1092.46</v>
          </cell>
          <cell r="K11">
            <v>1092.46</v>
          </cell>
          <cell r="L11">
            <v>1092.46</v>
          </cell>
          <cell r="M11">
            <v>1092.46</v>
          </cell>
          <cell r="N11">
            <v>1092.46</v>
          </cell>
          <cell r="O11">
            <v>1092.46</v>
          </cell>
        </row>
        <row r="12">
          <cell r="A12">
            <v>5</v>
          </cell>
          <cell r="B12">
            <v>987</v>
          </cell>
          <cell r="C12">
            <v>987</v>
          </cell>
          <cell r="D12">
            <v>987</v>
          </cell>
          <cell r="E12">
            <v>987</v>
          </cell>
          <cell r="F12">
            <v>987</v>
          </cell>
          <cell r="G12">
            <v>987</v>
          </cell>
          <cell r="H12">
            <v>987</v>
          </cell>
          <cell r="I12">
            <v>987</v>
          </cell>
          <cell r="J12">
            <v>987</v>
          </cell>
          <cell r="K12">
            <v>987</v>
          </cell>
          <cell r="L12">
            <v>987</v>
          </cell>
          <cell r="M12">
            <v>987</v>
          </cell>
          <cell r="N12">
            <v>987</v>
          </cell>
          <cell r="O12">
            <v>987</v>
          </cell>
        </row>
        <row r="13">
          <cell r="A13">
            <v>6</v>
          </cell>
          <cell r="B13">
            <v>886.13</v>
          </cell>
          <cell r="C13">
            <v>886.13</v>
          </cell>
          <cell r="D13">
            <v>886.13</v>
          </cell>
          <cell r="E13">
            <v>886.13</v>
          </cell>
          <cell r="F13">
            <v>886.13</v>
          </cell>
          <cell r="G13">
            <v>886.13</v>
          </cell>
          <cell r="H13">
            <v>886.13</v>
          </cell>
          <cell r="I13">
            <v>886.13</v>
          </cell>
          <cell r="J13">
            <v>886.13</v>
          </cell>
          <cell r="K13">
            <v>886.13</v>
          </cell>
          <cell r="L13">
            <v>886.13</v>
          </cell>
          <cell r="M13">
            <v>886.13</v>
          </cell>
          <cell r="N13">
            <v>886.13</v>
          </cell>
          <cell r="O13">
            <v>886.13</v>
          </cell>
        </row>
        <row r="14">
          <cell r="A14" t="str">
            <v>Direktoren</v>
          </cell>
          <cell r="B14">
            <v>4070</v>
          </cell>
          <cell r="C14">
            <v>4070</v>
          </cell>
          <cell r="D14">
            <v>4070</v>
          </cell>
          <cell r="E14">
            <v>4070</v>
          </cell>
          <cell r="F14">
            <v>4070</v>
          </cell>
          <cell r="G14">
            <v>4070</v>
          </cell>
          <cell r="H14">
            <v>4070</v>
          </cell>
          <cell r="I14">
            <v>4070</v>
          </cell>
          <cell r="J14">
            <v>4070</v>
          </cell>
          <cell r="K14">
            <v>4070</v>
          </cell>
          <cell r="L14">
            <v>4070</v>
          </cell>
          <cell r="M14">
            <v>4070</v>
          </cell>
          <cell r="N14">
            <v>4070</v>
          </cell>
          <cell r="O14">
            <v>4070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268.77</v>
          </cell>
          <cell r="K35">
            <v>268.77</v>
          </cell>
          <cell r="L35">
            <v>268.77</v>
          </cell>
          <cell r="M35">
            <v>268.77</v>
          </cell>
          <cell r="N35">
            <v>268.77</v>
          </cell>
          <cell r="O35">
            <v>268.77</v>
          </cell>
        </row>
        <row r="36">
          <cell r="A36">
            <v>1</v>
          </cell>
          <cell r="B36"/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/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/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/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/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/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0.25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tabSelected="1" zoomScale="130" zoomScaleNormal="130" workbookViewId="0"/>
  </sheetViews>
  <sheetFormatPr baseColWidth="10" defaultColWidth="11.5703125" defaultRowHeight="12.75" x14ac:dyDescent="0.2"/>
  <cols>
    <col min="1" max="1" width="11.28515625" style="63" customWidth="1"/>
    <col min="2" max="2" width="11.7109375" style="63" customWidth="1"/>
    <col min="3" max="3" width="10.85546875" style="63" customWidth="1"/>
    <col min="4" max="4" width="11.28515625" style="63" customWidth="1"/>
    <col min="5" max="5" width="5.42578125" style="63" customWidth="1"/>
    <col min="6" max="6" width="6" style="63" customWidth="1"/>
    <col min="7" max="7" width="11.140625" style="63" customWidth="1"/>
    <col min="8" max="8" width="9.85546875" style="63" customWidth="1"/>
    <col min="9" max="9" width="9.140625" style="63" customWidth="1"/>
    <col min="10" max="10" width="2.5703125" style="413" customWidth="1"/>
    <col min="11" max="15" width="2.140625" style="63" customWidth="1"/>
    <col min="16" max="16" width="2.28515625" style="63" customWidth="1"/>
    <col min="17" max="17" width="11.28515625" style="63" customWidth="1"/>
    <col min="18" max="18" width="10.7109375" style="63" customWidth="1"/>
    <col min="19" max="19" width="9" style="63" bestFit="1" customWidth="1"/>
    <col min="20" max="20" width="11.28515625" style="63" bestFit="1" customWidth="1"/>
    <col min="21" max="21" width="8.5703125" style="63" bestFit="1" customWidth="1"/>
    <col min="22" max="22" width="9.5703125" style="63" customWidth="1"/>
    <col min="23" max="24" width="10.7109375" style="63" customWidth="1"/>
    <col min="25" max="16384" width="11.5703125" style="63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[1]Firma!$A$10</f>
        <v>44927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84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86"/>
      <c r="H2" s="286"/>
      <c r="I2" s="289"/>
      <c r="J2" s="405"/>
      <c r="K2" s="287"/>
      <c r="L2" s="287"/>
      <c r="M2" s="287"/>
      <c r="N2" s="286"/>
      <c r="O2" s="406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125" t="str">
        <f>VLOOKUP(P3,'[1]Mit-1'!$A$5:$B$19,2,FALSE)</f>
        <v>Mustermann Max</v>
      </c>
      <c r="H3" s="109"/>
      <c r="I3" s="126"/>
      <c r="J3" s="407"/>
      <c r="K3" s="109"/>
      <c r="L3" s="109"/>
      <c r="M3" s="109"/>
      <c r="N3" s="109"/>
      <c r="O3" s="196"/>
      <c r="P3" s="127">
        <v>1</v>
      </c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64"/>
      <c r="V4" s="64"/>
      <c r="W4" s="64"/>
      <c r="X4" s="64"/>
      <c r="Y4" s="64"/>
      <c r="Z4" s="64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64"/>
      <c r="Q5" s="681" t="s">
        <v>136</v>
      </c>
      <c r="R5" s="682"/>
      <c r="S5" s="683"/>
      <c r="T5" s="64"/>
      <c r="U5" s="64"/>
      <c r="V5" s="64"/>
      <c r="W5" s="64"/>
      <c r="X5" s="64"/>
      <c r="Y5" s="64"/>
      <c r="Z5" s="64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64"/>
      <c r="Q6" s="684"/>
      <c r="R6" s="685"/>
      <c r="S6" s="686"/>
      <c r="T6" s="64"/>
      <c r="U6" s="64"/>
      <c r="V6" s="64"/>
      <c r="W6" s="64"/>
      <c r="X6" s="64"/>
      <c r="Y6" s="64"/>
      <c r="Z6" s="64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64"/>
      <c r="Q7" s="687" t="s">
        <v>140</v>
      </c>
      <c r="R7" s="688"/>
      <c r="S7" s="689"/>
      <c r="T7" s="64"/>
      <c r="U7" s="64"/>
      <c r="V7" s="64"/>
      <c r="W7" s="64"/>
      <c r="X7" s="64"/>
      <c r="Y7" s="64"/>
      <c r="Z7" s="64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VLOOKUP($P$3,'[1]Mit-2'!$A$5:$P$19,3,FALSE)</f>
        <v>2</v>
      </c>
      <c r="H8" s="133" t="s">
        <v>231</v>
      </c>
      <c r="I8" s="221">
        <f>VLOOKUP($P$3,'[1]Mit-2'!$A$46:$AD$60,17,FALSE)</f>
        <v>2</v>
      </c>
      <c r="J8" s="610" t="s">
        <v>226</v>
      </c>
      <c r="K8" s="611"/>
      <c r="L8" s="611"/>
      <c r="M8" s="611"/>
      <c r="N8" s="611"/>
      <c r="O8" s="612"/>
      <c r="P8" s="64"/>
      <c r="Q8" s="687"/>
      <c r="R8" s="688"/>
      <c r="S8" s="689"/>
      <c r="T8" s="64"/>
      <c r="U8" s="64"/>
      <c r="V8" s="64"/>
      <c r="W8" s="64"/>
      <c r="X8" s="64"/>
      <c r="Y8" s="64"/>
      <c r="Z8" s="64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VLOOKUP($P$3,'[1]Mit-2'!$A$5:$AD$19,17,FALSE)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64"/>
      <c r="Q9" s="284"/>
      <c r="R9" s="560"/>
      <c r="S9" s="67"/>
      <c r="T9" s="390">
        <f>[1]Firma!$B$10</f>
        <v>31</v>
      </c>
      <c r="U9" s="64"/>
      <c r="V9" s="64"/>
      <c r="W9" s="64"/>
      <c r="X9" s="64"/>
      <c r="Y9" s="64"/>
      <c r="Z9" s="64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68"/>
      <c r="H10" s="268"/>
      <c r="I10" s="272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64"/>
      <c r="Q10" s="673" t="s">
        <v>207</v>
      </c>
      <c r="R10" s="674"/>
      <c r="S10" s="675"/>
      <c r="T10" s="64"/>
      <c r="U10" s="64"/>
      <c r="V10" s="64"/>
      <c r="W10" s="64"/>
      <c r="X10" s="64"/>
      <c r="Y10" s="64"/>
      <c r="Z10" s="64"/>
    </row>
    <row r="11" spans="1:26" s="136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5"/>
      <c r="Q11" s="676"/>
      <c r="R11" s="677"/>
      <c r="S11" s="678"/>
      <c r="T11" s="135"/>
      <c r="U11" s="135"/>
      <c r="V11" s="135"/>
      <c r="W11" s="135"/>
      <c r="X11" s="135"/>
      <c r="Y11" s="135"/>
      <c r="Z11" s="135"/>
    </row>
    <row r="12" spans="1:26" x14ac:dyDescent="0.2">
      <c r="A12" s="250">
        <f>VLOOKUP($G$8,'[1]Lohntab-Tab-retr.'!$A$7:$O$15,2,FALSE)</f>
        <v>1477.83</v>
      </c>
      <c r="B12" s="251">
        <f>VLOOKUP($G$8,'[1]Lohntab-Tab-retr.'!$A$21:$O$29,2,FALSE)</f>
        <v>532.54</v>
      </c>
      <c r="C12" s="251">
        <f>I8*VLOOKUP($G$8,'[1]Lohntab-Tab-retr.'!$A$63:$O$71,2,FALSE)</f>
        <v>45.66</v>
      </c>
      <c r="D12" s="251">
        <f>VLOOKUP($G$8,'[1]Lohntab-Tab-retr.'!$A$35:$O$43,2,FALSE)</f>
        <v>0</v>
      </c>
      <c r="E12" s="695">
        <f>VLOOKUP($G$8,'[1]Lohntab-Tab-retr.'!$A$49:$O$57,2,FALSE)</f>
        <v>8</v>
      </c>
      <c r="F12" s="695"/>
      <c r="G12" s="251">
        <f>VLOOKUP($P$3,'[1]Mit-2'!$A$24:$P$38,3,FALSE)</f>
        <v>300</v>
      </c>
      <c r="H12" s="251">
        <f>VLOOKUP($G$8,'[1]Lohntab-Tab-retr.'!$A$77:$O$85,2,FALSE)</f>
        <v>0</v>
      </c>
      <c r="I12" s="403"/>
      <c r="J12" s="617"/>
      <c r="K12" s="620"/>
      <c r="L12" s="623"/>
      <c r="M12" s="623"/>
      <c r="N12" s="623"/>
      <c r="O12" s="693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136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209</v>
      </c>
      <c r="J13" s="617"/>
      <c r="K13" s="620"/>
      <c r="L13" s="623"/>
      <c r="M13" s="623"/>
      <c r="N13" s="623"/>
      <c r="O13" s="693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spans="1:26" x14ac:dyDescent="0.2">
      <c r="A14" s="257">
        <f>[1]Tab!G140</f>
        <v>168</v>
      </c>
      <c r="B14" s="338">
        <f>[1]Tab!G141</f>
        <v>26</v>
      </c>
      <c r="C14" s="258">
        <f>ROUND(I14/A14,5)</f>
        <v>14.07161</v>
      </c>
      <c r="D14" s="258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59">
        <f>SUM(A12:I12)</f>
        <v>2364.0299999999997</v>
      </c>
      <c r="J14" s="617"/>
      <c r="K14" s="620"/>
      <c r="L14" s="623"/>
      <c r="M14" s="623"/>
      <c r="N14" s="623"/>
      <c r="O14" s="693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spans="1:26" s="136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x14ac:dyDescent="0.2">
      <c r="A16" s="572">
        <f>VLOOKUP($P$3,'[1]Mit-2'!$A$90:$P$104,3,FALSE)*G9%</f>
        <v>14.43</v>
      </c>
      <c r="B16" s="569">
        <f>M50</f>
        <v>0</v>
      </c>
      <c r="C16" s="569">
        <f>A16-B16</f>
        <v>14.43</v>
      </c>
      <c r="D16" s="569">
        <f>VLOOKUP($P$3,'[1]Mit-2'!$A$90:$AD$104,17,FALSE)*G9%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</row>
    <row r="17" spans="1:26" ht="3.75" customHeight="1" x14ac:dyDescent="0.2">
      <c r="A17" s="245"/>
      <c r="B17" s="69"/>
      <c r="C17" s="69"/>
      <c r="D17" s="69"/>
      <c r="E17" s="69"/>
      <c r="F17" s="69"/>
      <c r="G17" s="69"/>
      <c r="H17" s="69"/>
      <c r="I17" s="70"/>
      <c r="J17" s="617"/>
      <c r="K17" s="620"/>
      <c r="L17" s="623"/>
      <c r="M17" s="623"/>
      <c r="N17" s="623"/>
      <c r="O17" s="693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S18" s="404"/>
      <c r="V18" s="142"/>
      <c r="W18" s="142"/>
      <c r="X18" s="142"/>
      <c r="Y18" s="141"/>
      <c r="Z18" s="141"/>
    </row>
    <row r="19" spans="1:26" ht="12" customHeight="1" x14ac:dyDescent="0.2">
      <c r="A19" s="668">
        <v>0</v>
      </c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74"/>
      <c r="V19" s="64"/>
      <c r="W19" s="64"/>
      <c r="X19" s="64"/>
      <c r="Y19" s="73"/>
      <c r="Z19" s="74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74"/>
      <c r="V20" s="75"/>
      <c r="W20" s="74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74"/>
      <c r="V21" s="75"/>
      <c r="W21" s="74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74"/>
      <c r="V22" s="75"/>
      <c r="W22" s="74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74"/>
      <c r="V23" s="75"/>
      <c r="W23" s="74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74"/>
      <c r="V24" s="75"/>
      <c r="W24" s="74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74"/>
      <c r="Q25"/>
      <c r="R25"/>
      <c r="S25"/>
      <c r="T25"/>
      <c r="U25"/>
      <c r="V25"/>
      <c r="W25" s="74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74"/>
      <c r="Q26"/>
      <c r="R26"/>
      <c r="S26"/>
      <c r="T26"/>
      <c r="U26"/>
      <c r="V26"/>
      <c r="W26" s="74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74"/>
      <c r="Q27"/>
      <c r="R27"/>
      <c r="S27"/>
      <c r="T27"/>
      <c r="U27"/>
      <c r="V27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74"/>
      <c r="Q28"/>
      <c r="R28"/>
      <c r="S28"/>
      <c r="T28"/>
      <c r="U28"/>
      <c r="V28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78"/>
      <c r="Q29"/>
      <c r="R29"/>
      <c r="S29"/>
      <c r="T29"/>
      <c r="U29"/>
      <c r="V29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64"/>
      <c r="Q30"/>
      <c r="R30"/>
      <c r="S30"/>
      <c r="T30"/>
      <c r="U30"/>
      <c r="V30"/>
      <c r="Z30" s="64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64"/>
      <c r="Q31"/>
      <c r="R31"/>
      <c r="S31"/>
      <c r="T31"/>
      <c r="U31"/>
      <c r="V31"/>
      <c r="Z31" s="64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64"/>
      <c r="Q32"/>
      <c r="R32"/>
      <c r="S32"/>
      <c r="T32"/>
      <c r="U32"/>
      <c r="V32"/>
      <c r="Z32" s="64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64"/>
      <c r="Q33"/>
      <c r="R33"/>
      <c r="S33"/>
      <c r="T33"/>
      <c r="U33"/>
      <c r="V33"/>
      <c r="Z33" s="64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64"/>
      <c r="Q34"/>
      <c r="R34"/>
      <c r="S34"/>
      <c r="T34"/>
      <c r="U34"/>
      <c r="V34"/>
      <c r="Z34" s="64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74"/>
      <c r="Q35"/>
      <c r="R35"/>
      <c r="S35"/>
      <c r="T35"/>
      <c r="U35"/>
      <c r="V35"/>
      <c r="Y35" s="74"/>
      <c r="Z35" s="74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74"/>
      <c r="Q36"/>
      <c r="R36"/>
      <c r="S36"/>
      <c r="T36"/>
      <c r="U36"/>
      <c r="V36"/>
      <c r="Y36" s="74"/>
      <c r="Z36" s="74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84"/>
      <c r="H37" s="58">
        <f>ROUND(IF(I29=0,0,VLOOKUP($P$3,'[1]Mit-1'!$A$5:$AD$19,12,FALSE)),2)</f>
        <v>0</v>
      </c>
      <c r="I37" s="570"/>
      <c r="J37" s="410">
        <v>19</v>
      </c>
      <c r="K37" s="542"/>
      <c r="L37" s="543"/>
      <c r="M37" s="543"/>
      <c r="N37" s="543"/>
      <c r="O37" s="544"/>
      <c r="P37" s="74"/>
      <c r="Q37"/>
      <c r="R37"/>
      <c r="S37"/>
      <c r="T37"/>
      <c r="U37"/>
      <c r="V37"/>
      <c r="Y37" s="74"/>
      <c r="Z37" s="74"/>
    </row>
    <row r="38" spans="1:26" ht="12" customHeight="1" x14ac:dyDescent="0.2">
      <c r="A38" s="153" t="s">
        <v>113</v>
      </c>
      <c r="B38" s="83"/>
      <c r="C38" s="83"/>
      <c r="D38" s="83"/>
      <c r="E38" s="83"/>
      <c r="F38" s="83"/>
      <c r="G38" s="84"/>
      <c r="H38" s="334">
        <f ca="1">IF(SUM(I29:I37)-H37&lt;0,0,SUM(I29:I36)-H37)</f>
        <v>0</v>
      </c>
      <c r="I38" s="224"/>
      <c r="J38" s="411">
        <v>20</v>
      </c>
      <c r="K38" s="542"/>
      <c r="L38" s="543"/>
      <c r="M38" s="543"/>
      <c r="N38" s="543"/>
      <c r="O38" s="544"/>
      <c r="P38" s="74"/>
      <c r="Q38"/>
      <c r="R38"/>
      <c r="S38"/>
      <c r="T38"/>
      <c r="U38"/>
      <c r="V38"/>
      <c r="Y38" s="74"/>
      <c r="Z38" s="74"/>
    </row>
    <row r="39" spans="1:26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9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227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2" t="s">
        <v>141</v>
      </c>
      <c r="B43" s="301"/>
      <c r="C43" s="83"/>
      <c r="D43" s="442"/>
      <c r="E43" s="643"/>
      <c r="F43" s="643"/>
      <c r="G43" s="441"/>
      <c r="H43" s="304" t="s">
        <v>33</v>
      </c>
      <c r="I43" s="229"/>
      <c r="J43" s="410">
        <v>25</v>
      </c>
      <c r="K43" s="542"/>
      <c r="L43" s="543"/>
      <c r="M43" s="543"/>
      <c r="N43" s="543"/>
      <c r="O43" s="544"/>
      <c r="P43" s="74"/>
      <c r="Q43" s="121" t="s">
        <v>0</v>
      </c>
      <c r="R43" s="122" t="s">
        <v>1</v>
      </c>
      <c r="S43" s="630"/>
      <c r="T43" s="634"/>
      <c r="U43" s="626"/>
      <c r="V43" s="88"/>
      <c r="W43" s="74"/>
      <c r="X43" s="74"/>
      <c r="Y43" s="74"/>
      <c r="Z43" s="74"/>
    </row>
    <row r="44" spans="1:26" ht="12" customHeight="1" x14ac:dyDescent="0.2">
      <c r="A44" s="148" t="s">
        <v>114</v>
      </c>
      <c r="B44" s="92"/>
      <c r="C44" s="87"/>
      <c r="D44" s="443"/>
      <c r="E44" s="642"/>
      <c r="F44" s="642"/>
      <c r="G44" s="444"/>
      <c r="H44" s="537"/>
      <c r="I44" s="223">
        <f>-H44</f>
        <v>0</v>
      </c>
      <c r="J44" s="411">
        <v>26</v>
      </c>
      <c r="K44" s="542"/>
      <c r="L44" s="543"/>
      <c r="M44" s="543"/>
      <c r="N44" s="543"/>
      <c r="O44" s="544"/>
      <c r="P44" s="74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88"/>
      <c r="W44" s="74"/>
      <c r="X44" s="74"/>
      <c r="Y44" s="74"/>
      <c r="Z44" s="74"/>
    </row>
    <row r="45" spans="1:26" s="64" customFormat="1" ht="12" customHeight="1" x14ac:dyDescent="0.2">
      <c r="A45" s="159" t="s">
        <v>115</v>
      </c>
      <c r="B45" s="94"/>
      <c r="C45" s="162" t="s">
        <v>148</v>
      </c>
      <c r="D45" s="445">
        <v>11</v>
      </c>
      <c r="E45" s="642"/>
      <c r="F45" s="642"/>
      <c r="G45" s="446"/>
      <c r="H45" s="211">
        <f>IF(I29=0,0,VLOOKUP($P$3,'[1]Mit-2'!$A$65:$P$79,3,FALSE))</f>
        <v>0</v>
      </c>
      <c r="I45" s="226">
        <f>IF($I$9="",ROUND(IF($I$29=0,0,-H45/D45),2),-Steuern!J40)</f>
        <v>0</v>
      </c>
      <c r="J45" s="410">
        <v>27</v>
      </c>
      <c r="K45" s="542"/>
      <c r="L45" s="543"/>
      <c r="M45" s="543"/>
      <c r="N45" s="543"/>
      <c r="O45" s="544"/>
      <c r="P45" s="74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88"/>
      <c r="W45" s="74"/>
      <c r="X45" s="74"/>
      <c r="Y45" s="74"/>
      <c r="Z45" s="74"/>
    </row>
    <row r="46" spans="1:26" ht="12" customHeight="1" x14ac:dyDescent="0.2">
      <c r="A46" s="145" t="s">
        <v>142</v>
      </c>
      <c r="B46" s="97"/>
      <c r="C46" s="98"/>
      <c r="D46" s="442"/>
      <c r="E46" s="643"/>
      <c r="F46" s="643"/>
      <c r="G46" s="447"/>
      <c r="H46" s="165" t="s">
        <v>33</v>
      </c>
      <c r="I46" s="222"/>
      <c r="J46" s="411">
        <v>28</v>
      </c>
      <c r="K46" s="542"/>
      <c r="L46" s="543"/>
      <c r="M46" s="543"/>
      <c r="N46" s="543"/>
      <c r="O46" s="544"/>
      <c r="P46" s="74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88"/>
      <c r="W46" s="74"/>
      <c r="X46" s="74"/>
      <c r="Y46" s="74"/>
      <c r="Z46" s="74"/>
    </row>
    <row r="47" spans="1:26" ht="12" customHeight="1" x14ac:dyDescent="0.2">
      <c r="A47" s="148" t="s">
        <v>114</v>
      </c>
      <c r="B47" s="92"/>
      <c r="C47" s="87"/>
      <c r="D47" s="443"/>
      <c r="E47" s="642"/>
      <c r="F47" s="642"/>
      <c r="G47" s="444"/>
      <c r="H47" s="537"/>
      <c r="I47" s="223">
        <f>-H47</f>
        <v>0</v>
      </c>
      <c r="J47" s="410">
        <v>29</v>
      </c>
      <c r="K47" s="542"/>
      <c r="L47" s="543"/>
      <c r="M47" s="543"/>
      <c r="N47" s="543"/>
      <c r="O47" s="544"/>
      <c r="P47" s="64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65"/>
      <c r="W47" s="64"/>
      <c r="X47" s="64"/>
      <c r="Y47" s="64"/>
      <c r="Z47" s="64"/>
    </row>
    <row r="48" spans="1:26" ht="12" customHeight="1" x14ac:dyDescent="0.2">
      <c r="A48" s="317" t="s">
        <v>137</v>
      </c>
      <c r="B48" s="318"/>
      <c r="C48" s="319" t="s">
        <v>32</v>
      </c>
      <c r="D48" s="448">
        <v>11</v>
      </c>
      <c r="E48" s="648"/>
      <c r="F48" s="648"/>
      <c r="G48" s="449"/>
      <c r="H48" s="450">
        <f>IF(I29=0,0,VLOOKUP($P$3,'[1]Mit-2'!$A$65:$AD$79,17,FALSE))</f>
        <v>0</v>
      </c>
      <c r="I48" s="226">
        <f>IF($I$9="",ROUND(IF($I$29=0,0,-H48/D48),2),-Steuern!N40)</f>
        <v>0</v>
      </c>
      <c r="J48" s="411">
        <v>30</v>
      </c>
      <c r="K48" s="542"/>
      <c r="L48" s="543"/>
      <c r="M48" s="543"/>
      <c r="N48" s="543"/>
      <c r="O48" s="544"/>
      <c r="P48" s="64"/>
      <c r="Q48" s="116">
        <f>[1]Tab!E12</f>
        <v>0</v>
      </c>
      <c r="R48" s="111"/>
      <c r="S48" s="112">
        <f>[1]Tab!G12</f>
        <v>0</v>
      </c>
      <c r="T48" s="350"/>
      <c r="U48" s="113">
        <f ca="1">ROUND(IF($H$38&gt;R47,T47+($H$38-R47)*S48,0),2)</f>
        <v>0</v>
      </c>
      <c r="V48" s="65"/>
      <c r="W48" s="64"/>
      <c r="X48" s="64"/>
      <c r="Y48" s="64"/>
      <c r="Z48" s="64"/>
    </row>
    <row r="49" spans="1:26" ht="12" customHeight="1" x14ac:dyDescent="0.2">
      <c r="A49" s="159" t="s">
        <v>147</v>
      </c>
      <c r="B49" s="329"/>
      <c r="C49" s="330"/>
      <c r="D49" s="331"/>
      <c r="E49" s="649"/>
      <c r="F49" s="650"/>
      <c r="G49" s="332"/>
      <c r="H49" s="333"/>
      <c r="I49" s="224"/>
      <c r="J49" s="416">
        <v>31</v>
      </c>
      <c r="K49" s="542"/>
      <c r="L49" s="543"/>
      <c r="M49" s="543"/>
      <c r="N49" s="543"/>
      <c r="O49" s="544"/>
      <c r="P49" s="64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65"/>
      <c r="W49" s="64"/>
      <c r="X49" s="64"/>
      <c r="Y49" s="64"/>
      <c r="Z49" s="64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27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74"/>
      <c r="Q50" s="297" t="s">
        <v>8</v>
      </c>
      <c r="R50" s="298"/>
      <c r="S50" s="117"/>
      <c r="T50" s="118"/>
      <c r="U50" s="119">
        <f ca="1">ROUND(SUM(U44:U47),2)</f>
        <v>0</v>
      </c>
      <c r="V50" s="88"/>
      <c r="W50" s="74"/>
      <c r="X50" s="74"/>
      <c r="Y50" s="74"/>
      <c r="Z50" s="74"/>
    </row>
    <row r="51" spans="1:26" ht="12" customHeight="1" x14ac:dyDescent="0.2">
      <c r="A51" s="148" t="s">
        <v>117</v>
      </c>
      <c r="B51" s="100"/>
      <c r="C51" s="80">
        <f>IF(I29=0,0,Steuern!J76)</f>
        <v>0</v>
      </c>
      <c r="D51" s="80">
        <f>IF(I29=0,0,Steuern!L76)</f>
        <v>0</v>
      </c>
      <c r="E51" s="646">
        <f>IF(I29=0,0,Steuern!N76)</f>
        <v>0</v>
      </c>
      <c r="F51" s="647"/>
      <c r="G51" s="80">
        <f>IF(I29=0,0,Steuern!P76)</f>
        <v>0</v>
      </c>
      <c r="H51" s="101">
        <f>IF(I29=0,0,Steuern!R76)</f>
        <v>0</v>
      </c>
      <c r="I51" s="227"/>
      <c r="J51" s="415"/>
      <c r="K51" s="636"/>
      <c r="L51" s="632"/>
      <c r="M51" s="632"/>
      <c r="N51" s="632"/>
      <c r="O51" s="638"/>
      <c r="P51" s="74"/>
      <c r="Q51" s="88"/>
      <c r="R51" s="88"/>
      <c r="S51" s="88"/>
      <c r="T51" s="88"/>
      <c r="U51" s="88"/>
      <c r="V51" s="88"/>
      <c r="W51" s="74"/>
      <c r="X51" s="74"/>
      <c r="Y51" s="74"/>
      <c r="Z51" s="74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74"/>
      <c r="Q52" s="88"/>
      <c r="R52" s="88"/>
      <c r="S52" s="88"/>
      <c r="T52" s="96"/>
      <c r="U52" s="88"/>
      <c r="V52" s="88"/>
      <c r="W52" s="74"/>
      <c r="X52" s="74"/>
      <c r="Y52" s="74"/>
      <c r="Z52" s="74"/>
    </row>
    <row r="53" spans="1:26" ht="15" customHeight="1" x14ac:dyDescent="0.2">
      <c r="A53" s="178" t="s">
        <v>119</v>
      </c>
      <c r="B53" s="105"/>
      <c r="C53" s="105"/>
      <c r="D53" s="105"/>
      <c r="E53" s="105"/>
      <c r="F53" s="105"/>
      <c r="G53" s="105"/>
      <c r="H53" s="105"/>
      <c r="I53" s="225">
        <f ca="1">SUM(I29:I52)</f>
        <v>0</v>
      </c>
      <c r="J53" s="412"/>
      <c r="K53" s="66"/>
      <c r="L53" s="66"/>
      <c r="M53" s="66"/>
      <c r="N53" s="66"/>
      <c r="O53" s="196"/>
      <c r="P53" s="106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68"/>
      <c r="W53" s="106"/>
      <c r="X53" s="106"/>
      <c r="Y53" s="106"/>
      <c r="Z53" s="106"/>
    </row>
    <row r="54" spans="1:26" ht="16.899999999999999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6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64"/>
      <c r="W54" s="64"/>
      <c r="X54" s="64"/>
    </row>
    <row r="55" spans="1:26" ht="16.899999999999999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64"/>
      <c r="W55" s="64"/>
      <c r="X55" s="64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ROUND(C54*'[1]Mit-2'!$C$84%,2)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106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106"/>
      <c r="W57" s="106"/>
      <c r="X57" s="106"/>
      <c r="Y57" s="106"/>
      <c r="Z57" s="106"/>
    </row>
    <row r="58" spans="1:26" ht="12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106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106"/>
      <c r="W58" s="106"/>
      <c r="X58" s="106"/>
      <c r="Y58" s="106"/>
      <c r="Z58" s="106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651"/>
      <c r="F59" s="652"/>
      <c r="G59" s="174" t="s">
        <v>42</v>
      </c>
      <c r="H59" s="212">
        <f>IF(I29=0,0,SUM(I60-Q61))</f>
        <v>0</v>
      </c>
      <c r="I59" s="527">
        <f>IF(I29=0,0,I60-Q61)</f>
        <v>0</v>
      </c>
      <c r="J59" s="532"/>
      <c r="K59" s="531"/>
      <c r="L59" s="531"/>
      <c r="M59" s="531"/>
      <c r="N59" s="709"/>
      <c r="O59" s="710"/>
      <c r="P59" s="106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106"/>
      <c r="W59" s="106"/>
      <c r="X59" s="106"/>
      <c r="Y59" s="106"/>
      <c r="Z59" s="106"/>
    </row>
    <row r="60" spans="1:26" ht="13.5" customHeight="1" x14ac:dyDescent="0.2">
      <c r="A60" s="429" t="s">
        <v>43</v>
      </c>
      <c r="B60" s="430"/>
      <c r="C60" s="430"/>
      <c r="D60" s="430"/>
      <c r="E60" s="430"/>
      <c r="F60" s="430"/>
      <c r="G60" s="430"/>
      <c r="H60" s="430"/>
      <c r="I60" s="528">
        <f>IF(I29=0,0,ROUNDUP(Q61,0))</f>
        <v>0</v>
      </c>
      <c r="J60" s="533"/>
      <c r="K60" s="534"/>
      <c r="L60" s="534"/>
      <c r="M60" s="534"/>
      <c r="N60" s="701"/>
      <c r="O60" s="702"/>
      <c r="P60" s="74"/>
      <c r="Q60" s="297" t="s">
        <v>8</v>
      </c>
      <c r="R60" s="298"/>
      <c r="S60" s="117"/>
      <c r="T60" s="118"/>
      <c r="U60" s="120">
        <f>ROUND(SUM(U55:U59),2)</f>
        <v>0</v>
      </c>
      <c r="V60" s="74"/>
      <c r="W60" s="74"/>
      <c r="X60" s="74"/>
      <c r="Y60" s="74"/>
      <c r="Z60" s="74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64"/>
      <c r="K61" s="64"/>
      <c r="L61" s="64"/>
      <c r="M61" s="64"/>
      <c r="Q61" s="107">
        <f ca="1">SUM(I53:I58,E59)</f>
        <v>0</v>
      </c>
    </row>
    <row r="62" spans="1:26" x14ac:dyDescent="0.2">
      <c r="Q62" s="66"/>
    </row>
    <row r="63" spans="1:26" x14ac:dyDescent="0.2">
      <c r="Q63" s="66"/>
    </row>
    <row r="64" spans="1:26" x14ac:dyDescent="0.2">
      <c r="A64" s="108" t="str">
        <f>'[1]Beschr-Descr.'!A1</f>
        <v xml:space="preserve">Beschreibung Lohnelemente  </v>
      </c>
      <c r="Q64" s="66"/>
    </row>
    <row r="65" spans="1:6" x14ac:dyDescent="0.2">
      <c r="A65" s="108" t="str">
        <f>'[1]Beschr-Descr.'!A2</f>
        <v>Descrizione elementi di retribuzione</v>
      </c>
      <c r="F65" s="108" t="s">
        <v>3</v>
      </c>
    </row>
    <row r="66" spans="1:6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</row>
    <row r="67" spans="1:6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</row>
    <row r="68" spans="1:6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</row>
    <row r="69" spans="1:6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</row>
    <row r="70" spans="1:6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</row>
    <row r="71" spans="1:6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</row>
    <row r="72" spans="1:6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</row>
    <row r="73" spans="1:6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</row>
    <row r="74" spans="1:6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</row>
    <row r="75" spans="1:6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</row>
    <row r="76" spans="1:6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</row>
    <row r="77" spans="1:6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</row>
    <row r="78" spans="1:6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</row>
    <row r="79" spans="1:6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</row>
    <row r="80" spans="1:6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</row>
    <row r="81" spans="1:5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</row>
    <row r="82" spans="1:5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</row>
    <row r="83" spans="1:5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</row>
    <row r="84" spans="1:5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</row>
    <row r="85" spans="1:5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</row>
    <row r="86" spans="1:5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</row>
    <row r="87" spans="1:5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</row>
    <row r="88" spans="1:5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</row>
    <row r="89" spans="1:5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</row>
    <row r="90" spans="1:5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</row>
    <row r="91" spans="1:5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</row>
    <row r="92" spans="1:5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</row>
    <row r="93" spans="1:5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</row>
    <row r="94" spans="1:5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</row>
    <row r="95" spans="1:5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</row>
    <row r="96" spans="1:5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</row>
    <row r="97" spans="1:5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</row>
    <row r="98" spans="1:5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</row>
    <row r="99" spans="1:5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</row>
    <row r="100" spans="1:5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</row>
    <row r="101" spans="1:5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</row>
    <row r="102" spans="1:5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</row>
    <row r="103" spans="1:5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</row>
    <row r="104" spans="1:5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</row>
    <row r="105" spans="1:5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</row>
    <row r="106" spans="1:5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</row>
    <row r="107" spans="1:5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</row>
    <row r="108" spans="1:5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</row>
    <row r="109" spans="1:5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</row>
    <row r="110" spans="1:5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</row>
    <row r="111" spans="1:5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</row>
    <row r="112" spans="1:5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</row>
    <row r="113" spans="1:5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</row>
    <row r="114" spans="1:5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</row>
    <row r="115" spans="1:5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</row>
    <row r="116" spans="1:5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</row>
    <row r="117" spans="1:5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</row>
    <row r="118" spans="1:5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</row>
    <row r="119" spans="1:5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</row>
    <row r="120" spans="1:5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</row>
    <row r="121" spans="1:5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</row>
    <row r="122" spans="1:5" x14ac:dyDescent="0.2">
      <c r="A122" s="63">
        <f>'[1]Beschr-Descr.'!A63</f>
        <v>0</v>
      </c>
    </row>
    <row r="123" spans="1:5" x14ac:dyDescent="0.2">
      <c r="A123" s="63">
        <f>'[1]Beschr-Descr.'!A64</f>
        <v>0</v>
      </c>
    </row>
    <row r="124" spans="1:5" x14ac:dyDescent="0.2">
      <c r="A124" s="63">
        <f>'[1]Beschr-Descr.'!A65</f>
        <v>0</v>
      </c>
    </row>
    <row r="125" spans="1:5" x14ac:dyDescent="0.2">
      <c r="A125" s="63">
        <f>'[1]Beschr-Descr.'!A66</f>
        <v>0</v>
      </c>
    </row>
    <row r="126" spans="1:5" x14ac:dyDescent="0.2">
      <c r="A126" s="63">
        <f>'[1]Beschr-Descr.'!A67</f>
        <v>0</v>
      </c>
    </row>
    <row r="127" spans="1:5" x14ac:dyDescent="0.2">
      <c r="A127" s="63">
        <f>'[1]Beschr-Descr.'!A68</f>
        <v>0</v>
      </c>
    </row>
    <row r="128" spans="1:5" x14ac:dyDescent="0.2">
      <c r="A128" s="63">
        <f>'[1]Beschr-Descr.'!A69</f>
        <v>0</v>
      </c>
    </row>
    <row r="129" spans="1:1" x14ac:dyDescent="0.2">
      <c r="A129" s="63">
        <f>'[1]Beschr-Descr.'!A70</f>
        <v>0</v>
      </c>
    </row>
    <row r="130" spans="1:1" x14ac:dyDescent="0.2">
      <c r="A130" s="63">
        <f>'[1]Beschr-Descr.'!A71</f>
        <v>0</v>
      </c>
    </row>
    <row r="131" spans="1:1" x14ac:dyDescent="0.2">
      <c r="A131" s="63">
        <f>'[1]Beschr-Descr.'!A72</f>
        <v>0</v>
      </c>
    </row>
    <row r="132" spans="1:1" x14ac:dyDescent="0.2">
      <c r="A132" s="63">
        <f>'[1]Beschr-Descr.'!A73</f>
        <v>0</v>
      </c>
    </row>
    <row r="133" spans="1:1" x14ac:dyDescent="0.2">
      <c r="A133" s="63">
        <f>'[1]Beschr-Descr.'!A74</f>
        <v>0</v>
      </c>
    </row>
    <row r="134" spans="1:1" x14ac:dyDescent="0.2">
      <c r="A134" s="63">
        <f>'[1]Beschr-Descr.'!A75</f>
        <v>0</v>
      </c>
    </row>
    <row r="135" spans="1:1" x14ac:dyDescent="0.2">
      <c r="A135" s="63">
        <f>'[1]Beschr-Descr.'!A76</f>
        <v>0</v>
      </c>
    </row>
    <row r="136" spans="1:1" x14ac:dyDescent="0.2">
      <c r="A136" s="63">
        <f>'[1]Beschr-Descr.'!A77</f>
        <v>0</v>
      </c>
    </row>
    <row r="137" spans="1:1" x14ac:dyDescent="0.2">
      <c r="A137" s="63">
        <f>'[1]Beschr-Descr.'!A78</f>
        <v>0</v>
      </c>
    </row>
    <row r="138" spans="1:1" x14ac:dyDescent="0.2">
      <c r="A138" s="63">
        <f>'[1]Beschr-Descr.'!A79</f>
        <v>0</v>
      </c>
    </row>
    <row r="139" spans="1:1" x14ac:dyDescent="0.2">
      <c r="A139" s="63">
        <f>'[1]Beschr-Descr.'!A80</f>
        <v>0</v>
      </c>
    </row>
    <row r="140" spans="1:1" x14ac:dyDescent="0.2">
      <c r="A140" s="63">
        <f>'[1]Beschr-Descr.'!A81</f>
        <v>0</v>
      </c>
    </row>
    <row r="141" spans="1:1" x14ac:dyDescent="0.2">
      <c r="A141" s="63">
        <f>'[1]Beschr-Descr.'!A82</f>
        <v>0</v>
      </c>
    </row>
    <row r="142" spans="1:1" x14ac:dyDescent="0.2">
      <c r="A142" s="63">
        <f>'[1]Beschr-Descr.'!A83</f>
        <v>0</v>
      </c>
    </row>
    <row r="143" spans="1:1" x14ac:dyDescent="0.2">
      <c r="A143" s="63">
        <f>'[1]Beschr-Descr.'!A84</f>
        <v>0</v>
      </c>
    </row>
    <row r="144" spans="1:1" x14ac:dyDescent="0.2">
      <c r="A144" s="63">
        <f>'[1]Beschr-Descr.'!A85</f>
        <v>0</v>
      </c>
    </row>
    <row r="145" spans="1:1" x14ac:dyDescent="0.2">
      <c r="A145" s="63">
        <f>'[1]Beschr-Descr.'!A86</f>
        <v>0</v>
      </c>
    </row>
    <row r="146" spans="1:1" x14ac:dyDescent="0.2">
      <c r="A146" s="63">
        <f>'[1]Beschr-Descr.'!A87</f>
        <v>0</v>
      </c>
    </row>
    <row r="147" spans="1:1" x14ac:dyDescent="0.2">
      <c r="A147" s="63">
        <f>'[1]Beschr-Descr.'!A88</f>
        <v>0</v>
      </c>
    </row>
    <row r="148" spans="1:1" x14ac:dyDescent="0.2">
      <c r="A148" s="63">
        <f>'[1]Beschr-Descr.'!A89</f>
        <v>0</v>
      </c>
    </row>
    <row r="149" spans="1:1" x14ac:dyDescent="0.2">
      <c r="A149" s="63">
        <f>'[1]Beschr-Descr.'!A90</f>
        <v>0</v>
      </c>
    </row>
    <row r="150" spans="1:1" x14ac:dyDescent="0.2">
      <c r="A150" s="63">
        <f>'[1]Beschr-Descr.'!A91</f>
        <v>0</v>
      </c>
    </row>
    <row r="151" spans="1:1" x14ac:dyDescent="0.2">
      <c r="A151" s="63">
        <f>'[1]Beschr-Descr.'!A92</f>
        <v>0</v>
      </c>
    </row>
    <row r="152" spans="1:1" x14ac:dyDescent="0.2">
      <c r="A152" s="63">
        <f>'[1]Beschr-Descr.'!A93</f>
        <v>0</v>
      </c>
    </row>
    <row r="153" spans="1:1" x14ac:dyDescent="0.2">
      <c r="A153" s="63">
        <f>'[1]Beschr-Descr.'!A94</f>
        <v>0</v>
      </c>
    </row>
    <row r="154" spans="1:1" x14ac:dyDescent="0.2">
      <c r="A154" s="63">
        <f>'[1]Beschr-Descr.'!A95</f>
        <v>0</v>
      </c>
    </row>
    <row r="155" spans="1:1" x14ac:dyDescent="0.2">
      <c r="A155" s="63">
        <f>'[1]Beschr-Descr.'!A96</f>
        <v>0</v>
      </c>
    </row>
    <row r="156" spans="1:1" x14ac:dyDescent="0.2">
      <c r="A156" s="63">
        <f>'[1]Beschr-Descr.'!A97</f>
        <v>0</v>
      </c>
    </row>
    <row r="157" spans="1:1" x14ac:dyDescent="0.2">
      <c r="A157" s="63">
        <f>'[1]Beschr-Descr.'!A98</f>
        <v>0</v>
      </c>
    </row>
    <row r="158" spans="1:1" x14ac:dyDescent="0.2">
      <c r="A158" s="63">
        <f>'[1]Beschr-Descr.'!A99</f>
        <v>0</v>
      </c>
    </row>
    <row r="159" spans="1:1" x14ac:dyDescent="0.2">
      <c r="A159" s="63">
        <f>'[1]Beschr-Descr.'!A100</f>
        <v>0</v>
      </c>
    </row>
    <row r="160" spans="1:1" x14ac:dyDescent="0.2">
      <c r="A160" s="63">
        <f>'[1]Beschr-Descr.'!A101</f>
        <v>0</v>
      </c>
    </row>
    <row r="161" spans="1:1" x14ac:dyDescent="0.2">
      <c r="A161" s="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disablePrompts="1"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19050</xdr:colOff>
                    <xdr:row>2</xdr:row>
                    <xdr:rowOff>19050</xdr:rowOff>
                  </from>
                  <to>
                    <xdr:col>8</xdr:col>
                    <xdr:colOff>581025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6"/>
  <sheetViews>
    <sheetView showGridLines="0" showZeros="0" topLeftCell="A19" zoomScaleNormal="100" workbookViewId="0"/>
  </sheetViews>
  <sheetFormatPr baseColWidth="10" defaultColWidth="11.42578125" defaultRowHeight="12.75" x14ac:dyDescent="0.2"/>
  <cols>
    <col min="1" max="1" width="11.28515625" style="460" customWidth="1"/>
    <col min="2" max="2" width="11.7109375" style="460" customWidth="1"/>
    <col min="3" max="3" width="10.85546875" style="460" customWidth="1"/>
    <col min="4" max="4" width="11.28515625" style="460" customWidth="1"/>
    <col min="5" max="5" width="5.42578125" style="460" customWidth="1"/>
    <col min="6" max="6" width="6" style="460" customWidth="1"/>
    <col min="7" max="7" width="11.140625" style="460" customWidth="1"/>
    <col min="8" max="8" width="9.85546875" style="460" customWidth="1"/>
    <col min="9" max="9" width="9.140625" style="460" customWidth="1"/>
    <col min="10" max="10" width="2.5703125" style="413" customWidth="1"/>
    <col min="11" max="15" width="2.140625" style="486" customWidth="1"/>
    <col min="16" max="16" width="2.28515625" style="460" customWidth="1"/>
    <col min="17" max="17" width="11.28515625" style="460" customWidth="1"/>
    <col min="18" max="18" width="10.7109375" style="460" customWidth="1"/>
    <col min="19" max="19" width="9" style="460" bestFit="1" customWidth="1"/>
    <col min="20" max="20" width="11.28515625" style="460" bestFit="1" customWidth="1"/>
    <col min="21" max="21" width="8.5703125" style="460" bestFit="1" customWidth="1"/>
    <col min="22" max="24" width="10.7109375" style="460" customWidth="1"/>
    <col min="25" max="16384" width="11.42578125" style="460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[1]Firma!$A$19</f>
        <v>45170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452"/>
      <c r="D3" s="452"/>
      <c r="E3" s="690" t="s">
        <v>126</v>
      </c>
      <c r="F3" s="691"/>
      <c r="G3" s="453" t="str">
        <f>VLOOKUP(P3,'[1]Mit-1'!$A$5:$B$19,2,FALSE)</f>
        <v>Mustermann Max</v>
      </c>
      <c r="H3" s="454"/>
      <c r="I3" s="455"/>
      <c r="J3" s="407"/>
      <c r="K3" s="456"/>
      <c r="L3" s="456"/>
      <c r="M3" s="456"/>
      <c r="N3" s="456"/>
      <c r="O3" s="457"/>
      <c r="P3" s="458">
        <v>1</v>
      </c>
      <c r="Q3" s="459"/>
      <c r="R3" s="459"/>
      <c r="S3" s="459"/>
      <c r="T3" s="459"/>
      <c r="U3" s="459"/>
      <c r="V3" s="459"/>
      <c r="W3" s="459"/>
      <c r="X3" s="459"/>
      <c r="Y3" s="459"/>
      <c r="Z3" s="459"/>
    </row>
    <row r="4" spans="1:26" ht="10.5" customHeight="1" x14ac:dyDescent="0.2">
      <c r="A4" s="129" t="s">
        <v>101</v>
      </c>
      <c r="B4" s="431">
        <f>[1]Firma!$B$4</f>
        <v>0</v>
      </c>
      <c r="C4" s="431"/>
      <c r="D4" s="431"/>
      <c r="E4" s="269" t="s">
        <v>127</v>
      </c>
      <c r="F4" s="461"/>
      <c r="G4" s="41" t="str">
        <f>VLOOKUP($P$3,'[1]Mit-1'!$A$5:$U$19,3,FALSE)</f>
        <v>39100 Bozen, Brennerstrasse 2</v>
      </c>
      <c r="H4" s="462"/>
      <c r="I4" s="463"/>
      <c r="J4" s="408"/>
      <c r="K4" s="461"/>
      <c r="L4" s="461"/>
      <c r="M4" s="461"/>
      <c r="N4" s="452"/>
      <c r="O4" s="464"/>
      <c r="P4" s="459"/>
      <c r="V4" s="459"/>
      <c r="W4" s="459"/>
      <c r="X4" s="459"/>
      <c r="Y4" s="459"/>
      <c r="Z4" s="459"/>
    </row>
    <row r="5" spans="1:26" ht="16.899999999999999" customHeight="1" x14ac:dyDescent="0.2">
      <c r="A5" s="130" t="s">
        <v>102</v>
      </c>
      <c r="B5" s="391">
        <f>[1]Firma!$C$4</f>
        <v>0</v>
      </c>
      <c r="C5" s="431"/>
      <c r="D5" s="431"/>
      <c r="E5" s="690" t="s">
        <v>103</v>
      </c>
      <c r="F5" s="691"/>
      <c r="G5" s="41" t="str">
        <f>VLOOKUP($P$3,'[1]Mit-1'!$A$5:$U$19,6,FALSE)</f>
        <v>AAABBB84B11B220G</v>
      </c>
      <c r="H5" s="462"/>
      <c r="I5" s="455"/>
      <c r="J5" s="408"/>
      <c r="K5" s="452"/>
      <c r="L5" s="452"/>
      <c r="M5" s="452"/>
      <c r="N5" s="452"/>
      <c r="O5" s="464"/>
      <c r="P5" s="459"/>
      <c r="Q5" s="747" t="s">
        <v>251</v>
      </c>
      <c r="R5" s="748"/>
      <c r="S5" s="749"/>
      <c r="T5" s="459"/>
      <c r="U5" s="459"/>
      <c r="V5" s="459"/>
      <c r="W5" s="459"/>
      <c r="X5" s="459"/>
      <c r="Y5" s="459"/>
      <c r="Z5" s="459"/>
    </row>
    <row r="6" spans="1:26" ht="16.899999999999999" customHeight="1" x14ac:dyDescent="0.2">
      <c r="A6" s="130" t="s">
        <v>103</v>
      </c>
      <c r="B6" s="391">
        <f>[1]Firma!$D$4</f>
        <v>0</v>
      </c>
      <c r="C6" s="431"/>
      <c r="D6" s="431"/>
      <c r="E6" s="269" t="s">
        <v>128</v>
      </c>
      <c r="F6" s="461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461"/>
      <c r="L6" s="461"/>
      <c r="M6" s="461"/>
      <c r="N6" s="452"/>
      <c r="O6" s="464"/>
      <c r="P6" s="459"/>
      <c r="Q6" s="750"/>
      <c r="R6" s="751"/>
      <c r="S6" s="752"/>
      <c r="T6" s="459"/>
      <c r="U6" s="459"/>
      <c r="V6" s="459"/>
      <c r="W6" s="459"/>
      <c r="X6" s="459"/>
      <c r="Y6" s="459"/>
      <c r="Z6" s="459"/>
    </row>
    <row r="7" spans="1:26" ht="16.899999999999999" customHeight="1" x14ac:dyDescent="0.2">
      <c r="A7" s="129" t="s">
        <v>104</v>
      </c>
      <c r="B7" s="391">
        <f>[1]Firma!$E$4</f>
        <v>0</v>
      </c>
      <c r="C7" s="431"/>
      <c r="D7" s="431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461"/>
      <c r="L7" s="461"/>
      <c r="M7" s="461"/>
      <c r="N7" s="452"/>
      <c r="O7" s="464"/>
      <c r="P7" s="459"/>
      <c r="Q7" s="753" t="s">
        <v>134</v>
      </c>
      <c r="R7" s="754"/>
      <c r="S7" s="755"/>
      <c r="T7" s="459"/>
      <c r="U7" s="459"/>
      <c r="V7" s="459"/>
      <c r="W7" s="459"/>
      <c r="X7" s="459"/>
      <c r="Y7" s="459"/>
      <c r="Z7" s="459"/>
    </row>
    <row r="8" spans="1:26" ht="16.899999999999999" customHeight="1" x14ac:dyDescent="0.2">
      <c r="A8" s="129" t="s">
        <v>105</v>
      </c>
      <c r="B8" s="391">
        <f>[1]Firma!$F$4</f>
        <v>0</v>
      </c>
      <c r="C8" s="431"/>
      <c r="D8" s="431"/>
      <c r="E8" s="690" t="s">
        <v>130</v>
      </c>
      <c r="F8" s="691"/>
      <c r="G8" s="217">
        <f>VLOOKUP($P$3,'[1]Mit-2'!$A$5:$P$19,12,FALSE)</f>
        <v>2</v>
      </c>
      <c r="H8" s="133" t="s">
        <v>231</v>
      </c>
      <c r="I8" s="221">
        <f>VLOOKUP($P$3,'[1]Mit-2'!$A$46:$AD$60,26,FALSE)</f>
        <v>2</v>
      </c>
      <c r="J8" s="610" t="s">
        <v>226</v>
      </c>
      <c r="K8" s="611"/>
      <c r="L8" s="611"/>
      <c r="M8" s="611"/>
      <c r="N8" s="611"/>
      <c r="O8" s="612"/>
      <c r="P8" s="459"/>
      <c r="Q8" s="753"/>
      <c r="R8" s="754"/>
      <c r="S8" s="755"/>
      <c r="T8" s="459"/>
      <c r="U8" s="459"/>
      <c r="V8" s="459"/>
      <c r="W8" s="459"/>
      <c r="X8" s="459"/>
      <c r="Y8" s="459"/>
      <c r="Z8" s="459"/>
    </row>
    <row r="9" spans="1:26" ht="16.899999999999999" customHeight="1" x14ac:dyDescent="0.2">
      <c r="A9" s="465"/>
      <c r="B9" s="456"/>
      <c r="C9" s="456"/>
      <c r="D9" s="456"/>
      <c r="E9" s="690" t="s">
        <v>131</v>
      </c>
      <c r="F9" s="691"/>
      <c r="G9" s="581">
        <f>VLOOKUP($P$3,'[1]Mit-2'!$A$5:$AD$19,26,FALSE)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459"/>
      <c r="Q9" s="466"/>
      <c r="R9" s="562"/>
      <c r="S9" s="464"/>
      <c r="T9" s="467">
        <f>[1]Firma!$B$19</f>
        <v>30</v>
      </c>
      <c r="U9" s="459"/>
      <c r="V9" s="459"/>
      <c r="W9" s="459"/>
      <c r="X9" s="459"/>
      <c r="Y9" s="459"/>
      <c r="Z9" s="459"/>
    </row>
    <row r="10" spans="1:26" ht="10.9" customHeight="1" x14ac:dyDescent="0.2">
      <c r="A10" s="271" t="s">
        <v>108</v>
      </c>
      <c r="B10" s="468"/>
      <c r="C10" s="468"/>
      <c r="D10" s="468"/>
      <c r="E10" s="468"/>
      <c r="F10" s="468"/>
      <c r="G10" s="469"/>
      <c r="H10" s="469"/>
      <c r="I10" s="470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459"/>
      <c r="Q10" s="673" t="s">
        <v>207</v>
      </c>
      <c r="R10" s="674"/>
      <c r="S10" s="675"/>
      <c r="T10" s="459"/>
      <c r="U10" s="459"/>
      <c r="V10" s="459"/>
      <c r="W10" s="459"/>
      <c r="X10" s="459"/>
      <c r="Y10" s="459"/>
      <c r="Z10" s="459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x14ac:dyDescent="0.2">
      <c r="A12" s="471">
        <f>VLOOKUP($G$8,'[1]Lohntab-Tab-retr.'!$A$7:$O$15,11,FALSE)</f>
        <v>1477.83</v>
      </c>
      <c r="B12" s="472">
        <f>VLOOKUP($G$8,'[1]Lohntab-Tab-retr.'!$A$21:$O$29,11,FALSE)</f>
        <v>532.54</v>
      </c>
      <c r="C12" s="472">
        <f>I8*VLOOKUP($G$8,'[1]Lohntab-Tab-retr.'!$A$63:$O$71,11,FALSE)</f>
        <v>45.66</v>
      </c>
      <c r="D12" s="472">
        <f>VLOOKUP($G$8,'[1]Lohntab-Tab-retr.'!$A$35:$O$43,11,FALSE)</f>
        <v>0</v>
      </c>
      <c r="E12" s="745">
        <f>VLOOKUP($G$8,'[1]Lohntab-Tab-retr.'!$A$49:$O$57,11,FALSE)</f>
        <v>8</v>
      </c>
      <c r="F12" s="745"/>
      <c r="G12" s="472">
        <f>VLOOKUP($P$3,'[1]Mit-2'!$A$24:$P$38,12,FALSE)</f>
        <v>300</v>
      </c>
      <c r="H12" s="472">
        <f>VLOOKUP($G$8,'[1]Lohntab-Tab-retr.'!$A$77:$O$85,11,FALSE)</f>
        <v>0</v>
      </c>
      <c r="I12" s="473"/>
      <c r="J12" s="617"/>
      <c r="K12" s="620"/>
      <c r="L12" s="623"/>
      <c r="M12" s="623"/>
      <c r="N12" s="623"/>
      <c r="O12" s="693"/>
      <c r="P12" s="459"/>
      <c r="Q12" s="459"/>
      <c r="R12" s="459"/>
      <c r="S12" s="459"/>
      <c r="T12" s="459"/>
      <c r="U12" s="459"/>
      <c r="V12" s="459"/>
      <c r="W12" s="459"/>
      <c r="X12" s="459"/>
      <c r="Y12" s="459"/>
      <c r="Z12" s="459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474">
        <f>[1]Tab!G140</f>
        <v>168</v>
      </c>
      <c r="B14" s="475">
        <f>[1]Tab!G141</f>
        <v>26</v>
      </c>
      <c r="C14" s="419">
        <f>ROUND(I14/A14,5)</f>
        <v>14.07161</v>
      </c>
      <c r="D14" s="419">
        <f>ROUND(I14/B14,5)</f>
        <v>90.924229999999994</v>
      </c>
      <c r="E14" s="746">
        <f>COUNT(K19:K49)</f>
        <v>0</v>
      </c>
      <c r="F14" s="746"/>
      <c r="G14" s="475">
        <f>K50</f>
        <v>0</v>
      </c>
      <c r="H14" s="475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476"/>
      <c r="Q14" s="476"/>
      <c r="R14" s="476"/>
      <c r="S14" s="476"/>
      <c r="T14" s="476"/>
      <c r="U14" s="476"/>
      <c r="V14" s="476"/>
      <c r="W14" s="476"/>
      <c r="X14" s="476"/>
      <c r="Y14" s="476"/>
      <c r="Z14" s="476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2">
        <f>'08'!A16+(VLOOKUP($P$3,'[1]Mit-2'!$A$90:$P$104,12,FALSE))*G9%</f>
        <v>14.43</v>
      </c>
      <c r="B16" s="569">
        <f>M50</f>
        <v>0</v>
      </c>
      <c r="C16" s="569">
        <f>A16-B16</f>
        <v>14.43</v>
      </c>
      <c r="D16" s="569">
        <f>'08'!D16+(VLOOKUP($P$3,'[1]Mit-2'!$A$90:$AD$104,26,FALSE))*G9%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</row>
    <row r="17" spans="1:26" ht="3.75" customHeight="1" x14ac:dyDescent="0.2">
      <c r="A17" s="477"/>
      <c r="B17" s="478"/>
      <c r="C17" s="478"/>
      <c r="D17" s="478"/>
      <c r="E17" s="478"/>
      <c r="F17" s="478"/>
      <c r="G17" s="478"/>
      <c r="H17" s="478"/>
      <c r="I17" s="479"/>
      <c r="J17" s="617"/>
      <c r="K17" s="620"/>
      <c r="L17" s="623"/>
      <c r="M17" s="623"/>
      <c r="N17" s="623"/>
      <c r="O17" s="693"/>
      <c r="P17" s="459"/>
      <c r="Q17" s="459"/>
      <c r="R17" s="459"/>
      <c r="S17" s="459"/>
      <c r="T17" s="459"/>
      <c r="U17" s="459"/>
      <c r="V17" s="459"/>
      <c r="W17" s="459"/>
      <c r="X17" s="459"/>
      <c r="Y17" s="459"/>
      <c r="Z17" s="459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480">
        <f>VLOOKUP(A19,A66:F121,5,FALSE)</f>
        <v>0</v>
      </c>
      <c r="H19" s="436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459"/>
      <c r="W19" s="459"/>
      <c r="X19" s="459"/>
      <c r="Y19" s="10"/>
      <c r="Z19" s="9"/>
    </row>
    <row r="20" spans="1:26" ht="12" customHeight="1" x14ac:dyDescent="0.2">
      <c r="A20" s="768"/>
      <c r="B20" s="769"/>
      <c r="C20" s="769"/>
      <c r="D20" s="557"/>
      <c r="E20" s="558"/>
      <c r="F20" s="556"/>
      <c r="G20" s="480">
        <f>VLOOKUP(A20,A67:F122,5,FALSE)</f>
        <v>0</v>
      </c>
      <c r="H20" s="436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768"/>
      <c r="B21" s="769"/>
      <c r="C21" s="769"/>
      <c r="D21" s="557"/>
      <c r="E21" s="558"/>
      <c r="F21" s="556"/>
      <c r="G21" s="480">
        <f>VLOOKUP(A21,A66:F121,5,FALSE)</f>
        <v>0</v>
      </c>
      <c r="H21" s="436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768"/>
      <c r="B22" s="769"/>
      <c r="C22" s="769"/>
      <c r="D22" s="557"/>
      <c r="E22" s="558"/>
      <c r="F22" s="556"/>
      <c r="G22" s="480">
        <f>VLOOKUP(A22,A67:F122,5,FALSE)</f>
        <v>0</v>
      </c>
      <c r="H22" s="436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768"/>
      <c r="B23" s="769"/>
      <c r="C23" s="769"/>
      <c r="D23" s="557"/>
      <c r="E23" s="558"/>
      <c r="F23" s="556"/>
      <c r="G23" s="480">
        <f t="shared" ref="G23:G28" si="2">VLOOKUP(A23,A67:F122,5,FALSE)</f>
        <v>0</v>
      </c>
      <c r="H23" s="436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768"/>
      <c r="B24" s="769"/>
      <c r="C24" s="769"/>
      <c r="D24" s="557"/>
      <c r="E24" s="558"/>
      <c r="F24" s="556"/>
      <c r="G24" s="480">
        <f t="shared" si="2"/>
        <v>0</v>
      </c>
      <c r="H24" s="436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768"/>
      <c r="B25" s="769"/>
      <c r="C25" s="769"/>
      <c r="D25" s="557"/>
      <c r="E25" s="558"/>
      <c r="F25" s="556"/>
      <c r="G25" s="480">
        <f t="shared" si="2"/>
        <v>0</v>
      </c>
      <c r="H25" s="436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756"/>
      <c r="B26" s="757"/>
      <c r="C26" s="757"/>
      <c r="D26" s="555"/>
      <c r="E26" s="551"/>
      <c r="F26" s="556"/>
      <c r="G26" s="480">
        <f t="shared" si="2"/>
        <v>0</v>
      </c>
      <c r="H26" s="436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756"/>
      <c r="B27" s="757"/>
      <c r="C27" s="757"/>
      <c r="D27" s="555"/>
      <c r="E27" s="551"/>
      <c r="F27" s="556"/>
      <c r="G27" s="480">
        <f t="shared" si="2"/>
        <v>0</v>
      </c>
      <c r="H27" s="436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756"/>
      <c r="B28" s="757"/>
      <c r="C28" s="757"/>
      <c r="D28" s="555"/>
      <c r="E28" s="551"/>
      <c r="F28" s="556"/>
      <c r="G28" s="480">
        <f t="shared" si="2"/>
        <v>0</v>
      </c>
      <c r="H28" s="436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481"/>
      <c r="C30" s="482"/>
      <c r="D30" s="482"/>
      <c r="E30" s="482"/>
      <c r="F30" s="146" t="s">
        <v>55</v>
      </c>
      <c r="G30" s="437">
        <f>ROUND(I29,0)</f>
        <v>0</v>
      </c>
      <c r="H30" s="420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459"/>
      <c r="Z30" s="459"/>
    </row>
    <row r="31" spans="1:26" ht="12" customHeight="1" x14ac:dyDescent="0.2">
      <c r="A31" s="148" t="s">
        <v>237</v>
      </c>
      <c r="B31" s="483"/>
      <c r="C31" s="484"/>
      <c r="D31" s="484"/>
      <c r="E31" s="484"/>
      <c r="F31" s="147" t="s">
        <v>55</v>
      </c>
      <c r="G31" s="438">
        <f>ROUND(I29,2)</f>
        <v>0</v>
      </c>
      <c r="H31" s="421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459"/>
      <c r="Z31" s="459"/>
    </row>
    <row r="32" spans="1:26" ht="12" customHeight="1" x14ac:dyDescent="0.2">
      <c r="A32" s="148" t="s">
        <v>234</v>
      </c>
      <c r="B32" s="483"/>
      <c r="C32" s="484"/>
      <c r="D32" s="484"/>
      <c r="E32" s="484"/>
      <c r="F32" s="147" t="s">
        <v>55</v>
      </c>
      <c r="G32" s="438">
        <f>IF(I29=0,0,IF(R9&gt;0,SUM(A12:B12)/T9*R9,SUM(A12:B12)))</f>
        <v>0</v>
      </c>
      <c r="H32" s="421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459"/>
      <c r="Z32" s="459"/>
    </row>
    <row r="33" spans="1:26" ht="12" customHeight="1" x14ac:dyDescent="0.2">
      <c r="A33" s="148" t="s">
        <v>235</v>
      </c>
      <c r="B33" s="483"/>
      <c r="C33" s="484"/>
      <c r="D33" s="484"/>
      <c r="E33" s="484"/>
      <c r="F33" s="147" t="s">
        <v>55</v>
      </c>
      <c r="G33" s="438">
        <f>G30</f>
        <v>0</v>
      </c>
      <c r="H33" s="421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459"/>
      <c r="Z33" s="459"/>
    </row>
    <row r="34" spans="1:26" ht="12" customHeight="1" x14ac:dyDescent="0.2">
      <c r="A34" s="148" t="s">
        <v>258</v>
      </c>
      <c r="B34" s="483"/>
      <c r="C34" s="484"/>
      <c r="D34" s="484"/>
      <c r="E34" s="484"/>
      <c r="F34" s="519"/>
      <c r="G34" s="485"/>
      <c r="H34" s="521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459"/>
      <c r="Z34" s="459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485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433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486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434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486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435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486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435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486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487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488"/>
      <c r="D44" s="489"/>
      <c r="E44" s="772"/>
      <c r="F44" s="773"/>
      <c r="G44" s="490"/>
      <c r="H44" s="538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491">
        <f>[1]Tab!E8</f>
        <v>0</v>
      </c>
      <c r="R44" s="492">
        <f>[1]Tab!F8</f>
        <v>1250</v>
      </c>
      <c r="S44" s="493">
        <f>[1]Tab!G8</f>
        <v>0.23</v>
      </c>
      <c r="T44" s="494">
        <f>ROUND(R44*S44,2)</f>
        <v>287.5</v>
      </c>
      <c r="U44" s="494">
        <f ca="1">ROUND(IF(AND($H$38&lt;=R44,$H$38&gt;0),$H$38*S44,0),2)</f>
        <v>0</v>
      </c>
      <c r="V44" s="12"/>
      <c r="W44" s="9"/>
      <c r="X44" s="9"/>
      <c r="Y44" s="9"/>
      <c r="Z44" s="9"/>
    </row>
    <row r="45" spans="1:26" s="459" customFormat="1" ht="12" customHeight="1" x14ac:dyDescent="0.2">
      <c r="A45" s="161" t="s">
        <v>115</v>
      </c>
      <c r="B45" s="22"/>
      <c r="C45" s="163" t="s">
        <v>252</v>
      </c>
      <c r="D45" s="495">
        <v>11</v>
      </c>
      <c r="E45" s="743"/>
      <c r="F45" s="744"/>
      <c r="G45" s="496"/>
      <c r="H45" s="439">
        <f>IF(I29=0,0,VLOOKUP($P$3,'[1]Mit-2'!$A$65:$P$79,12,FALSE))</f>
        <v>0</v>
      </c>
      <c r="I45" s="226">
        <f>IF($I$9="",ROUND(IF($I$29=0,0,-H45/D45),2),-Steuern!J53)</f>
        <v>0</v>
      </c>
      <c r="J45" s="410">
        <v>27</v>
      </c>
      <c r="K45" s="542"/>
      <c r="L45" s="543"/>
      <c r="M45" s="543"/>
      <c r="N45" s="543"/>
      <c r="O45" s="544"/>
      <c r="P45" s="9"/>
      <c r="Q45" s="491">
        <f>[1]Tab!E9</f>
        <v>1250.01</v>
      </c>
      <c r="R45" s="492">
        <f>[1]Tab!F9</f>
        <v>2333.33</v>
      </c>
      <c r="S45" s="493">
        <f>[1]Tab!G9</f>
        <v>0.25</v>
      </c>
      <c r="T45" s="494">
        <f>ROUND((R45-Q45)*S45+T44,2)</f>
        <v>558.33000000000004</v>
      </c>
      <c r="U45" s="494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497"/>
      <c r="C46" s="18"/>
      <c r="D46" s="16"/>
      <c r="E46" s="717"/>
      <c r="F46" s="718"/>
      <c r="G46" s="164"/>
      <c r="H46" s="167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491">
        <f>[1]Tab!E10</f>
        <v>2333.34</v>
      </c>
      <c r="R46" s="492">
        <f>[1]Tab!F10</f>
        <v>4166.67</v>
      </c>
      <c r="S46" s="493">
        <f>[1]Tab!G10</f>
        <v>0.35</v>
      </c>
      <c r="T46" s="494">
        <f>ROUND((R46-Q46)*S46+T45,2)</f>
        <v>1200</v>
      </c>
      <c r="U46" s="494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488"/>
      <c r="D47" s="489"/>
      <c r="E47" s="743"/>
      <c r="F47" s="744"/>
      <c r="G47" s="490"/>
      <c r="H47" s="538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459"/>
      <c r="Q47" s="491">
        <f>[1]Tab!E11</f>
        <v>4166.68</v>
      </c>
      <c r="R47" s="492">
        <f>[1]Tab!F11</f>
        <v>0</v>
      </c>
      <c r="S47" s="493">
        <f>[1]Tab!G11</f>
        <v>0.43</v>
      </c>
      <c r="T47" s="494"/>
      <c r="U47" s="494">
        <f ca="1">ROUND(IF(AND($H$38&lt;=R47,$H$38&gt;=Q47),T46+($H$38-R46)*S47,0),2)</f>
        <v>0</v>
      </c>
      <c r="V47" s="454"/>
      <c r="W47" s="459"/>
      <c r="X47" s="459"/>
      <c r="Y47" s="459"/>
      <c r="Z47" s="459"/>
    </row>
    <row r="48" spans="1:26" ht="12" customHeight="1" x14ac:dyDescent="0.2">
      <c r="A48" s="322" t="s">
        <v>115</v>
      </c>
      <c r="B48" s="323"/>
      <c r="C48" s="324" t="s">
        <v>253</v>
      </c>
      <c r="D48" s="498">
        <v>11</v>
      </c>
      <c r="E48" s="770"/>
      <c r="F48" s="771"/>
      <c r="G48" s="499"/>
      <c r="H48" s="451">
        <f>IF(I29=0,0,VLOOKUP($P$3,'[1]Mit-2'!$A$65:$AD$79,26,FALSE))</f>
        <v>0</v>
      </c>
      <c r="I48" s="226">
        <f>IF($I$9="",ROUND(IF($I$29=0,0,-H48/D48),2),-Steuern!N53)</f>
        <v>0</v>
      </c>
      <c r="J48" s="411">
        <v>30</v>
      </c>
      <c r="K48" s="542"/>
      <c r="L48" s="543"/>
      <c r="M48" s="543"/>
      <c r="N48" s="543"/>
      <c r="O48" s="544"/>
      <c r="P48" s="459"/>
      <c r="Q48" s="491">
        <f>[1]Tab!E12</f>
        <v>0</v>
      </c>
      <c r="R48" s="492"/>
      <c r="S48" s="493">
        <f>[1]Tab!G12</f>
        <v>0</v>
      </c>
      <c r="T48" s="500"/>
      <c r="U48" s="494">
        <f ca="1">ROUND(IF($H$38&gt;R47,T47+($H$38-R47)*S48,0),2)</f>
        <v>0</v>
      </c>
      <c r="V48" s="454"/>
      <c r="W48" s="459"/>
      <c r="X48" s="459"/>
      <c r="Y48" s="459"/>
      <c r="Z48" s="459"/>
    </row>
    <row r="49" spans="1:26" ht="12" customHeight="1" x14ac:dyDescent="0.2">
      <c r="A49" s="161" t="s">
        <v>147</v>
      </c>
      <c r="B49" s="329">
        <v>0.3</v>
      </c>
      <c r="C49" s="330">
        <f>H48</f>
        <v>0</v>
      </c>
      <c r="D49" s="331">
        <f>ROUND(C49*B49,2)</f>
        <v>0</v>
      </c>
      <c r="E49" s="741"/>
      <c r="F49" s="742"/>
      <c r="G49" s="332" t="s">
        <v>149</v>
      </c>
      <c r="H49" s="333">
        <v>9</v>
      </c>
      <c r="I49" s="518">
        <f>IF($I$9="",ROUND(IF($I$29=0,0,-D49/H49),2),-Steuern!R54)</f>
        <v>0</v>
      </c>
      <c r="J49" s="416">
        <v>31</v>
      </c>
      <c r="K49" s="542"/>
      <c r="L49" s="543"/>
      <c r="M49" s="543"/>
      <c r="N49" s="543"/>
      <c r="O49" s="544"/>
      <c r="P49" s="459"/>
      <c r="Q49" s="491">
        <f>[1]Tab!E13</f>
        <v>0</v>
      </c>
      <c r="R49" s="492"/>
      <c r="S49" s="493">
        <f>[1]Tab!G13</f>
        <v>0</v>
      </c>
      <c r="T49" s="500"/>
      <c r="U49" s="494">
        <f ca="1">ROUND(IF($H$38&gt;R48,T48+($H$38-R48)*S49,0),2)</f>
        <v>0</v>
      </c>
      <c r="V49" s="454"/>
      <c r="W49" s="459"/>
      <c r="X49" s="459"/>
      <c r="Y49" s="459"/>
      <c r="Z49" s="459"/>
    </row>
    <row r="50" spans="1:26" ht="12" customHeight="1" x14ac:dyDescent="0.2">
      <c r="A50" s="160" t="s">
        <v>139</v>
      </c>
      <c r="B50" s="50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502" t="s">
        <v>8</v>
      </c>
      <c r="R50" s="503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504"/>
      <c r="C51" s="438">
        <f>IF(I29=0,0,Steuern!J85)</f>
        <v>0</v>
      </c>
      <c r="D51" s="438">
        <f>IF(I29=0,0,Steuern!L85)</f>
        <v>0</v>
      </c>
      <c r="E51" s="743">
        <f>IF(I29=0,0,Steuern!N85)</f>
        <v>0</v>
      </c>
      <c r="F51" s="744"/>
      <c r="G51" s="438">
        <f>IF(I29=0,0,Steuern!P85)</f>
        <v>0</v>
      </c>
      <c r="H51" s="505">
        <f>IF(I29=0,0,Steuern!R85)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506"/>
      <c r="C52" s="507">
        <f>IF($I$9="",0,Steuern!J89)</f>
        <v>0</v>
      </c>
      <c r="D52" s="507">
        <f>U60</f>
        <v>0</v>
      </c>
      <c r="E52" s="763">
        <f>IF($I$9="",0,Ausgleich!F60)</f>
        <v>0</v>
      </c>
      <c r="F52" s="764"/>
      <c r="G52" s="508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509"/>
      <c r="C53" s="509"/>
      <c r="D53" s="509"/>
      <c r="E53" s="509"/>
      <c r="F53" s="509"/>
      <c r="G53" s="509"/>
      <c r="H53" s="509"/>
      <c r="I53" s="234">
        <f ca="1">SUM(I29:I52)</f>
        <v>0</v>
      </c>
      <c r="J53" s="412"/>
      <c r="K53" s="461"/>
      <c r="L53" s="461"/>
      <c r="M53" s="461"/>
      <c r="N53" s="461"/>
      <c r="O53" s="457"/>
      <c r="P53" s="34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510"/>
      <c r="W53" s="34"/>
      <c r="X53" s="34"/>
      <c r="Y53" s="34"/>
      <c r="Z53" s="34"/>
    </row>
    <row r="54" spans="1:26" ht="12" customHeight="1" x14ac:dyDescent="0.2">
      <c r="A54" s="170" t="s">
        <v>120</v>
      </c>
      <c r="B54" s="173" t="s">
        <v>124</v>
      </c>
      <c r="C54" s="511">
        <f>IF($I$9="",0,VLOOKUP($P$3,'[1]Mit-1'!$A$5:$AD$19,22,FALSE))</f>
        <v>0</v>
      </c>
      <c r="D54" s="139" t="s">
        <v>38</v>
      </c>
      <c r="E54" s="760">
        <f>ROUND(IF($I$9="",0,Steuern!$D$89/13.5),2)</f>
        <v>0</v>
      </c>
      <c r="F54" s="761"/>
      <c r="G54" s="139" t="s">
        <v>40</v>
      </c>
      <c r="H54" s="512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459"/>
      <c r="W54" s="459"/>
      <c r="X54" s="459"/>
    </row>
    <row r="55" spans="1:26" ht="15" customHeight="1" x14ac:dyDescent="0.2">
      <c r="A55" s="172" t="s">
        <v>121</v>
      </c>
      <c r="B55" s="175" t="s">
        <v>37</v>
      </c>
      <c r="C55" s="536"/>
      <c r="D55" s="174" t="s">
        <v>39</v>
      </c>
      <c r="E55" s="766"/>
      <c r="F55" s="767"/>
      <c r="G55" s="174" t="s">
        <v>35</v>
      </c>
      <c r="H55" s="538"/>
      <c r="I55" s="527">
        <f>-(E55-H55)</f>
        <v>0</v>
      </c>
      <c r="J55" s="532"/>
      <c r="K55" s="531"/>
      <c r="L55" s="531"/>
      <c r="M55" s="531"/>
      <c r="N55" s="709"/>
      <c r="O55" s="710"/>
      <c r="Q55" s="491">
        <f>[1]Tab!A8</f>
        <v>0</v>
      </c>
      <c r="R55" s="492">
        <f>[1]Tab!D8</f>
        <v>15000</v>
      </c>
      <c r="S55" s="493">
        <f>S44</f>
        <v>0.23</v>
      </c>
      <c r="T55" s="494">
        <f>ROUND(R55*S55,2)</f>
        <v>3450</v>
      </c>
      <c r="U55" s="494">
        <f>ROUND(IF(AND($C$52&lt;=R55,C52&gt;0),$C$52*S55,0),2)</f>
        <v>0</v>
      </c>
      <c r="V55" s="459"/>
      <c r="W55" s="459"/>
      <c r="X55" s="459"/>
    </row>
    <row r="56" spans="1:26" ht="16.899999999999999" customHeight="1" x14ac:dyDescent="0.2">
      <c r="A56" s="596" t="s">
        <v>122</v>
      </c>
      <c r="B56" s="177" t="s">
        <v>125</v>
      </c>
      <c r="C56" s="598">
        <f>ROUND(C54*'[1]Mit-2'!$L$84%,2)</f>
        <v>0</v>
      </c>
      <c r="D56" s="176" t="s">
        <v>262</v>
      </c>
      <c r="E56" s="763">
        <f>ROUND(C56*[1]Tab!$G$142,2)</f>
        <v>0</v>
      </c>
      <c r="F56" s="764"/>
      <c r="G56" s="589"/>
      <c r="H56" s="599"/>
      <c r="I56" s="224">
        <f>C56-E56</f>
        <v>0</v>
      </c>
      <c r="J56" s="532"/>
      <c r="K56" s="531"/>
      <c r="L56" s="531"/>
      <c r="M56" s="531"/>
      <c r="N56" s="709"/>
      <c r="O56" s="710"/>
      <c r="Q56" s="491">
        <f>[1]Tab!A9</f>
        <v>15000.01</v>
      </c>
      <c r="R56" s="492">
        <f>[1]Tab!D9</f>
        <v>28000</v>
      </c>
      <c r="S56" s="493">
        <f>S45</f>
        <v>0.25</v>
      </c>
      <c r="T56" s="494">
        <f>ROUND((R56-Q56)*S56+T55,2)</f>
        <v>6700</v>
      </c>
      <c r="U56" s="494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93"/>
      <c r="C57" s="593"/>
      <c r="D57" s="594"/>
      <c r="E57" s="765"/>
      <c r="F57" s="765"/>
      <c r="G57" s="594"/>
      <c r="H57" s="59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34"/>
      <c r="Q57" s="491">
        <f>[1]Tab!A10</f>
        <v>28000.01</v>
      </c>
      <c r="R57" s="492">
        <f>[1]Tab!D10</f>
        <v>50000</v>
      </c>
      <c r="S57" s="493">
        <f>S46</f>
        <v>0.35</v>
      </c>
      <c r="T57" s="494">
        <f>ROUND((R57-Q57)*S57+T56,2)</f>
        <v>14400</v>
      </c>
      <c r="U57" s="494">
        <f>ROUND(IF(AND($C$52&lt;=R57,$C$52&gt;=Q57),T56+($C$52-R56)*S57,0),2)</f>
        <v>0</v>
      </c>
      <c r="V57" s="34"/>
      <c r="W57" s="34"/>
      <c r="X57" s="34"/>
      <c r="Y57" s="34"/>
      <c r="Z57" s="34"/>
    </row>
    <row r="58" spans="1:26" ht="12.75" customHeight="1" x14ac:dyDescent="0.2">
      <c r="A58" s="600"/>
      <c r="B58" s="605"/>
      <c r="C58" s="605"/>
      <c r="D58" s="606"/>
      <c r="E58" s="762"/>
      <c r="F58" s="762"/>
      <c r="G58" s="606"/>
      <c r="H58" s="607"/>
      <c r="I58" s="604"/>
      <c r="J58" s="532"/>
      <c r="K58" s="531"/>
      <c r="L58" s="531"/>
      <c r="M58" s="531"/>
      <c r="N58" s="709"/>
      <c r="O58" s="710"/>
      <c r="P58" s="34"/>
      <c r="Q58" s="491">
        <f>[1]Tab!A11</f>
        <v>50000.01</v>
      </c>
      <c r="R58" s="492">
        <f>[1]Tab!D11</f>
        <v>0</v>
      </c>
      <c r="S58" s="493">
        <f>S47</f>
        <v>0.43</v>
      </c>
      <c r="T58" s="494"/>
      <c r="U58" s="494">
        <f>ROUND(IF(AND($C$52&lt;=R58,$C$52&gt;=Q58),T57+($C$52-R57)*S58,0),2)</f>
        <v>0</v>
      </c>
      <c r="V58" s="34"/>
      <c r="W58" s="34"/>
      <c r="X58" s="34"/>
      <c r="Y58" s="34"/>
      <c r="Z58" s="34"/>
    </row>
    <row r="59" spans="1:26" ht="12" customHeight="1" x14ac:dyDescent="0.2">
      <c r="A59" s="154" t="s">
        <v>123</v>
      </c>
      <c r="B59" s="488"/>
      <c r="C59" s="513"/>
      <c r="D59" s="175" t="s">
        <v>41</v>
      </c>
      <c r="E59" s="758">
        <f>-'08'!H59</f>
        <v>0</v>
      </c>
      <c r="F59" s="759"/>
      <c r="G59" s="175" t="s">
        <v>42</v>
      </c>
      <c r="H59" s="440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34"/>
      <c r="Q59" s="491">
        <f>[1]Tab!A12</f>
        <v>0</v>
      </c>
      <c r="R59" s="492"/>
      <c r="S59" s="493">
        <f>S48</f>
        <v>0</v>
      </c>
      <c r="T59" s="500"/>
      <c r="U59" s="494">
        <f>ROUND(IF($C$52&gt;R58,T58+($C$52-R58)*S59,0),2)</f>
        <v>0</v>
      </c>
      <c r="V59" s="34"/>
      <c r="W59" s="34"/>
      <c r="X59" s="34"/>
      <c r="Y59" s="34"/>
      <c r="Z59" s="34"/>
    </row>
    <row r="60" spans="1:26" ht="12" customHeight="1" x14ac:dyDescent="0.2">
      <c r="A60" s="427" t="s">
        <v>43</v>
      </c>
      <c r="B60" s="514"/>
      <c r="C60" s="514"/>
      <c r="D60" s="514"/>
      <c r="E60" s="514"/>
      <c r="F60" s="514"/>
      <c r="G60" s="514"/>
      <c r="H60" s="514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502" t="s">
        <v>8</v>
      </c>
      <c r="R60" s="503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459"/>
      <c r="B61" s="459"/>
      <c r="C61" s="459"/>
      <c r="D61" s="459"/>
      <c r="E61" s="459"/>
      <c r="F61" s="459"/>
      <c r="G61" s="459"/>
      <c r="H61" s="459"/>
      <c r="I61" s="459"/>
      <c r="K61" s="516"/>
      <c r="L61" s="516"/>
      <c r="M61" s="516"/>
      <c r="Q61" s="515">
        <f ca="1">SUM(I53:I58,E59)</f>
        <v>0</v>
      </c>
    </row>
    <row r="62" spans="1:26" x14ac:dyDescent="0.2">
      <c r="Q62" s="515"/>
    </row>
    <row r="63" spans="1:26" ht="15.75" customHeight="1" x14ac:dyDescent="0.2">
      <c r="Q63" s="515"/>
    </row>
    <row r="64" spans="1:26" x14ac:dyDescent="0.2">
      <c r="A64" s="108" t="str">
        <f>'[1]Beschr-Descr.'!A1</f>
        <v xml:space="preserve">Beschreibung Lohnelemente  </v>
      </c>
      <c r="B64" s="486"/>
      <c r="C64" s="486"/>
      <c r="D64" s="486"/>
      <c r="E64" s="486"/>
      <c r="F64" s="486"/>
      <c r="G64" s="486"/>
      <c r="Q64" s="515"/>
    </row>
    <row r="65" spans="1:7" x14ac:dyDescent="0.2">
      <c r="A65" s="108" t="str">
        <f>'[1]Beschr-Descr.'!A2</f>
        <v>Descrizione elementi di retribuzione</v>
      </c>
      <c r="B65" s="486"/>
      <c r="C65" s="486"/>
      <c r="D65" s="486"/>
      <c r="E65" s="486"/>
      <c r="F65" s="108" t="s">
        <v>3</v>
      </c>
      <c r="G65" s="486"/>
    </row>
    <row r="66" spans="1:7" x14ac:dyDescent="0.2">
      <c r="A66" s="486">
        <f>'[1]Beschr-Descr.'!A3</f>
        <v>0</v>
      </c>
      <c r="B66" s="486">
        <f>'[1]Beschr-Descr.'!B3</f>
        <v>0</v>
      </c>
      <c r="C66" s="486">
        <f>'[1]Beschr-Descr.'!C3</f>
        <v>0</v>
      </c>
      <c r="D66" s="486">
        <f>'[1]Beschr-Descr.'!D3</f>
        <v>0</v>
      </c>
      <c r="E66" s="486">
        <f>'[1]Beschr-Descr.'!E3</f>
        <v>0</v>
      </c>
      <c r="F66" s="486"/>
      <c r="G66" s="486"/>
    </row>
    <row r="67" spans="1:7" x14ac:dyDescent="0.2">
      <c r="A67" s="486" t="str">
        <f>'[1]Beschr-Descr.'!A4</f>
        <v>Normalentlohnung</v>
      </c>
      <c r="B67" s="517"/>
      <c r="C67" s="517">
        <f>'[1]Beschr-Descr.'!C4</f>
        <v>0</v>
      </c>
      <c r="D67" s="517">
        <f>'[1]Beschr-Descr.'!D4</f>
        <v>0</v>
      </c>
      <c r="E67" s="296">
        <f>'[1]Beschr-Descr.'!E4</f>
        <v>0</v>
      </c>
      <c r="F67" s="486" t="s">
        <v>44</v>
      </c>
      <c r="G67" s="486"/>
    </row>
    <row r="68" spans="1:7" x14ac:dyDescent="0.2">
      <c r="A68" s="486" t="str">
        <f>'[1]Beschr-Descr.'!A5</f>
        <v>Genossener Urlaub</v>
      </c>
      <c r="B68" s="517"/>
      <c r="C68" s="517">
        <f>'[1]Beschr-Descr.'!C5</f>
        <v>0</v>
      </c>
      <c r="D68" s="517">
        <f>'[1]Beschr-Descr.'!D5</f>
        <v>0</v>
      </c>
      <c r="E68" s="296">
        <f>'[1]Beschr-Descr.'!E5</f>
        <v>0</v>
      </c>
      <c r="F68" s="486" t="s">
        <v>45</v>
      </c>
      <c r="G68" s="486"/>
    </row>
    <row r="69" spans="1:7" x14ac:dyDescent="0.2">
      <c r="A69" s="486" t="str">
        <f>'[1]Beschr-Descr.'!A6</f>
        <v>Genossene Freistellungen</v>
      </c>
      <c r="B69" s="517"/>
      <c r="C69" s="517">
        <f>'[1]Beschr-Descr.'!C6</f>
        <v>0</v>
      </c>
      <c r="D69" s="517">
        <f>'[1]Beschr-Descr.'!D6</f>
        <v>0</v>
      </c>
      <c r="E69" s="296">
        <f>'[1]Beschr-Descr.'!E6</f>
        <v>0</v>
      </c>
      <c r="F69" s="486" t="s">
        <v>46</v>
      </c>
      <c r="G69" s="486"/>
    </row>
    <row r="70" spans="1:7" x14ac:dyDescent="0.2">
      <c r="A70" s="486" t="str">
        <f>'[1]Beschr-Descr.'!A7</f>
        <v>Nicht genossener Urlaub</v>
      </c>
      <c r="B70" s="517"/>
      <c r="C70" s="517">
        <f>'[1]Beschr-Descr.'!C7</f>
        <v>0</v>
      </c>
      <c r="D70" s="517">
        <f>'[1]Beschr-Descr.'!D7</f>
        <v>0</v>
      </c>
      <c r="E70" s="296">
        <f>'[1]Beschr-Descr.'!E7</f>
        <v>0</v>
      </c>
      <c r="F70" s="486"/>
      <c r="G70" s="486"/>
    </row>
    <row r="71" spans="1:7" x14ac:dyDescent="0.2">
      <c r="A71" s="486" t="str">
        <f>'[1]Beschr-Descr.'!A8</f>
        <v>Nicht genossene Freistellungen</v>
      </c>
      <c r="B71" s="517"/>
      <c r="C71" s="517">
        <f>'[1]Beschr-Descr.'!C8</f>
        <v>0</v>
      </c>
      <c r="D71" s="517">
        <f>'[1]Beschr-Descr.'!D8</f>
        <v>0</v>
      </c>
      <c r="E71" s="296">
        <f>'[1]Beschr-Descr.'!E8</f>
        <v>0</v>
      </c>
      <c r="F71" s="486"/>
      <c r="G71" s="486"/>
    </row>
    <row r="72" spans="1:7" x14ac:dyDescent="0.2">
      <c r="A72" s="486" t="str">
        <f>'[1]Beschr-Descr.'!A9</f>
        <v>Nicht genossene Feiertage</v>
      </c>
      <c r="B72" s="517"/>
      <c r="C72" s="517">
        <f>'[1]Beschr-Descr.'!C9</f>
        <v>0</v>
      </c>
      <c r="D72" s="517">
        <f>'[1]Beschr-Descr.'!D9</f>
        <v>0</v>
      </c>
      <c r="E72" s="296">
        <f>'[1]Beschr-Descr.'!E9</f>
        <v>0</v>
      </c>
      <c r="F72" s="486"/>
      <c r="G72" s="486"/>
    </row>
    <row r="73" spans="1:7" x14ac:dyDescent="0.2">
      <c r="A73" s="486" t="str">
        <f>'[1]Beschr-Descr.'!A10</f>
        <v>Zulage für Kassarisiko</v>
      </c>
      <c r="B73" s="517"/>
      <c r="C73" s="517">
        <f>'[1]Beschr-Descr.'!C10</f>
        <v>0</v>
      </c>
      <c r="D73" s="517">
        <f>'[1]Beschr-Descr.'!D10</f>
        <v>0</v>
      </c>
      <c r="E73" s="296">
        <f>'[1]Beschr-Descr.'!E10</f>
        <v>0</v>
      </c>
      <c r="F73" s="486"/>
      <c r="G73" s="486"/>
    </row>
    <row r="74" spans="1:7" x14ac:dyDescent="0.2">
      <c r="A74" s="486">
        <f>'[1]Beschr-Descr.'!A11</f>
        <v>0</v>
      </c>
      <c r="B74" s="517"/>
      <c r="C74" s="517">
        <f>'[1]Beschr-Descr.'!C11</f>
        <v>0</v>
      </c>
      <c r="D74" s="517">
        <f>'[1]Beschr-Descr.'!D11</f>
        <v>0</v>
      </c>
      <c r="E74" s="296">
        <f>'[1]Beschr-Descr.'!E11</f>
        <v>0</v>
      </c>
      <c r="F74" s="486"/>
      <c r="G74" s="486"/>
    </row>
    <row r="75" spans="1:7" x14ac:dyDescent="0.2">
      <c r="A75" s="486" t="str">
        <f>'[1]Beschr-Descr.'!A12</f>
        <v xml:space="preserve">Überstunden 15%  </v>
      </c>
      <c r="B75" s="517"/>
      <c r="C75" s="517">
        <f>'[1]Beschr-Descr.'!C12</f>
        <v>0</v>
      </c>
      <c r="D75" s="517">
        <f>'[1]Beschr-Descr.'!D12</f>
        <v>0</v>
      </c>
      <c r="E75" s="296">
        <f>'[1]Beschr-Descr.'!E12</f>
        <v>0.15</v>
      </c>
      <c r="F75" s="486"/>
      <c r="G75" s="486"/>
    </row>
    <row r="76" spans="1:7" x14ac:dyDescent="0.2">
      <c r="A76" s="486" t="str">
        <f>'[1]Beschr-Descr.'!A13</f>
        <v xml:space="preserve">Überstunden 20%  </v>
      </c>
      <c r="B76" s="517"/>
      <c r="C76" s="517">
        <f>'[1]Beschr-Descr.'!C13</f>
        <v>0</v>
      </c>
      <c r="D76" s="517">
        <f>'[1]Beschr-Descr.'!D13</f>
        <v>0</v>
      </c>
      <c r="E76" s="296">
        <f>'[1]Beschr-Descr.'!E13</f>
        <v>0.2</v>
      </c>
      <c r="F76" s="486"/>
      <c r="G76" s="486"/>
    </row>
    <row r="77" spans="1:7" x14ac:dyDescent="0.2">
      <c r="A77" s="486" t="str">
        <f>'[1]Beschr-Descr.'!A14</f>
        <v xml:space="preserve">Überstunden 30%  </v>
      </c>
      <c r="B77" s="517"/>
      <c r="C77" s="517">
        <f>'[1]Beschr-Descr.'!C14</f>
        <v>0</v>
      </c>
      <c r="D77" s="517">
        <f>'[1]Beschr-Descr.'!D14</f>
        <v>0</v>
      </c>
      <c r="E77" s="296">
        <f>'[1]Beschr-Descr.'!E14</f>
        <v>0.3</v>
      </c>
      <c r="F77" s="486"/>
      <c r="G77" s="486"/>
    </row>
    <row r="78" spans="1:7" x14ac:dyDescent="0.2">
      <c r="A78" s="486" t="str">
        <f>'[1]Beschr-Descr.'!A15</f>
        <v xml:space="preserve">Überstunden 50%  </v>
      </c>
      <c r="B78" s="517"/>
      <c r="C78" s="517">
        <f>'[1]Beschr-Descr.'!C15</f>
        <v>0</v>
      </c>
      <c r="D78" s="517">
        <f>'[1]Beschr-Descr.'!D15</f>
        <v>0</v>
      </c>
      <c r="E78" s="296">
        <f>'[1]Beschr-Descr.'!E15</f>
        <v>0.5</v>
      </c>
      <c r="F78" s="486"/>
      <c r="G78" s="486"/>
    </row>
    <row r="79" spans="1:7" x14ac:dyDescent="0.2">
      <c r="A79" s="486" t="str">
        <f>'[1]Beschr-Descr.'!A16</f>
        <v>Nachtstunden 50%</v>
      </c>
      <c r="B79" s="517"/>
      <c r="C79" s="517">
        <f>'[1]Beschr-Descr.'!C16</f>
        <v>0</v>
      </c>
      <c r="D79" s="517">
        <f>'[1]Beschr-Descr.'!D16</f>
        <v>0</v>
      </c>
      <c r="E79" s="296">
        <f>'[1]Beschr-Descr.'!E16</f>
        <v>0.5</v>
      </c>
      <c r="F79" s="486"/>
      <c r="G79" s="486"/>
    </row>
    <row r="80" spans="1:7" x14ac:dyDescent="0.2">
      <c r="A80" s="486">
        <f>'[1]Beschr-Descr.'!A17</f>
        <v>0</v>
      </c>
      <c r="B80" s="517"/>
      <c r="C80" s="517">
        <f>'[1]Beschr-Descr.'!C17</f>
        <v>0</v>
      </c>
      <c r="D80" s="517">
        <f>'[1]Beschr-Descr.'!D17</f>
        <v>0</v>
      </c>
      <c r="E80" s="296">
        <f>'[1]Beschr-Descr.'!E17</f>
        <v>0</v>
      </c>
      <c r="F80" s="486"/>
      <c r="G80" s="486"/>
    </row>
    <row r="81" spans="1:7" x14ac:dyDescent="0.2">
      <c r="A81" s="486" t="str">
        <f>'[1]Beschr-Descr.'!A18</f>
        <v>Krankheit gesamt</v>
      </c>
      <c r="B81" s="517"/>
      <c r="C81" s="517">
        <f>'[1]Beschr-Descr.'!C18</f>
        <v>0</v>
      </c>
      <c r="D81" s="517">
        <f>'[1]Beschr-Descr.'!D18</f>
        <v>0</v>
      </c>
      <c r="E81" s="296">
        <f>'[1]Beschr-Descr.'!E18</f>
        <v>0</v>
      </c>
      <c r="F81" s="486"/>
      <c r="G81" s="486"/>
    </row>
    <row r="82" spans="1:7" x14ac:dyDescent="0.2">
      <c r="A82" s="486" t="str">
        <f>'[1]Beschr-Descr.'!A19</f>
        <v xml:space="preserve">Krankheit INPS-Anteil 50,00% </v>
      </c>
      <c r="B82" s="517"/>
      <c r="C82" s="517">
        <f>'[1]Beschr-Descr.'!C19</f>
        <v>0</v>
      </c>
      <c r="D82" s="517">
        <f>'[1]Beschr-Descr.'!D19</f>
        <v>0</v>
      </c>
      <c r="E82" s="296">
        <f>'[1]Beschr-Descr.'!E19</f>
        <v>-0.5</v>
      </c>
      <c r="F82" s="486"/>
      <c r="G82" s="486"/>
    </row>
    <row r="83" spans="1:7" x14ac:dyDescent="0.2">
      <c r="A83" s="486" t="str">
        <f>'[1]Beschr-Descr.'!A20</f>
        <v xml:space="preserve">Krankheit INPS-Anteil 66,67% </v>
      </c>
      <c r="B83" s="517"/>
      <c r="C83" s="517">
        <f>'[1]Beschr-Descr.'!C20</f>
        <v>0</v>
      </c>
      <c r="D83" s="517">
        <f>'[1]Beschr-Descr.'!D20</f>
        <v>0</v>
      </c>
      <c r="E83" s="296">
        <f>'[1]Beschr-Descr.'!E20</f>
        <v>-0.66669999999999996</v>
      </c>
      <c r="F83" s="486"/>
      <c r="G83" s="486"/>
    </row>
    <row r="84" spans="1:7" x14ac:dyDescent="0.2">
      <c r="A84" s="486" t="str">
        <f>'[1]Beschr-Descr.'!A21</f>
        <v>Mutterschaft Gesamtbetrag</v>
      </c>
      <c r="B84" s="517"/>
      <c r="C84" s="517">
        <f>'[1]Beschr-Descr.'!C21</f>
        <v>0</v>
      </c>
      <c r="D84" s="517">
        <f>'[1]Beschr-Descr.'!D21</f>
        <v>0</v>
      </c>
      <c r="E84" s="296">
        <f>'[1]Beschr-Descr.'!E21</f>
        <v>0</v>
      </c>
      <c r="F84" s="486"/>
      <c r="G84" s="486"/>
    </row>
    <row r="85" spans="1:7" x14ac:dyDescent="0.2">
      <c r="A85" s="486" t="str">
        <f>'[1]Beschr-Descr.'!A22</f>
        <v>Mutterschaft INPS-Anteil 80,00%</v>
      </c>
      <c r="B85" s="517"/>
      <c r="C85" s="517">
        <f>'[1]Beschr-Descr.'!C22</f>
        <v>0</v>
      </c>
      <c r="D85" s="517">
        <f>'[1]Beschr-Descr.'!D22</f>
        <v>0</v>
      </c>
      <c r="E85" s="296">
        <f>'[1]Beschr-Descr.'!E22</f>
        <v>-0.8</v>
      </c>
      <c r="F85" s="486"/>
      <c r="G85" s="486"/>
    </row>
    <row r="86" spans="1:7" x14ac:dyDescent="0.2">
      <c r="A86" s="486" t="str">
        <f>'[1]Beschr-Descr.'!A23</f>
        <v>Abzug Bruttoberechnung Krankengeld INPS</v>
      </c>
      <c r="B86" s="517"/>
      <c r="C86" s="517">
        <f>'[1]Beschr-Descr.'!C23</f>
        <v>0</v>
      </c>
      <c r="D86" s="517">
        <f>'[1]Beschr-Descr.'!D23</f>
        <v>0</v>
      </c>
      <c r="E86" s="296">
        <f>'[1]Beschr-Descr.'!E23</f>
        <v>0.10120030833608633</v>
      </c>
      <c r="F86" s="486"/>
      <c r="G86" s="486"/>
    </row>
    <row r="87" spans="1:7" x14ac:dyDescent="0.2">
      <c r="A87" s="486">
        <f>'[1]Beschr-Descr.'!A24</f>
        <v>0</v>
      </c>
      <c r="B87" s="517"/>
      <c r="C87" s="517">
        <f>'[1]Beschr-Descr.'!C24</f>
        <v>0</v>
      </c>
      <c r="D87" s="517">
        <f>'[1]Beschr-Descr.'!D24</f>
        <v>0</v>
      </c>
      <c r="E87" s="296">
        <f>'[1]Beschr-Descr.'!E24</f>
        <v>0</v>
      </c>
      <c r="F87" s="486"/>
      <c r="G87" s="486"/>
    </row>
    <row r="88" spans="1:7" x14ac:dyDescent="0.2">
      <c r="A88" s="486" t="str">
        <f>'[1]Beschr-Descr.'!A25</f>
        <v xml:space="preserve">13. Monatsgehalt  </v>
      </c>
      <c r="B88" s="517"/>
      <c r="C88" s="517">
        <f>'[1]Beschr-Descr.'!C25</f>
        <v>0</v>
      </c>
      <c r="D88" s="517">
        <f>'[1]Beschr-Descr.'!D25</f>
        <v>0</v>
      </c>
      <c r="E88" s="296">
        <f>'[1]Beschr-Descr.'!E25</f>
        <v>0</v>
      </c>
      <c r="F88" s="486"/>
      <c r="G88" s="486"/>
    </row>
    <row r="89" spans="1:7" x14ac:dyDescent="0.2">
      <c r="A89" s="486" t="str">
        <f>'[1]Beschr-Descr.'!A26</f>
        <v xml:space="preserve">14. Monatsgehalt  </v>
      </c>
      <c r="B89" s="517"/>
      <c r="C89" s="517">
        <f>'[1]Beschr-Descr.'!C26</f>
        <v>0</v>
      </c>
      <c r="D89" s="517">
        <f>'[1]Beschr-Descr.'!D26</f>
        <v>0</v>
      </c>
      <c r="E89" s="296">
        <f>'[1]Beschr-Descr.'!E26</f>
        <v>0</v>
      </c>
      <c r="F89" s="486"/>
      <c r="G89" s="486"/>
    </row>
    <row r="90" spans="1:7" x14ac:dyDescent="0.2">
      <c r="A90" s="486" t="str">
        <f>'[1]Beschr-Descr.'!A27</f>
        <v xml:space="preserve">Nichteinhaltung Kündigungsfrist  </v>
      </c>
      <c r="B90" s="517"/>
      <c r="C90" s="517">
        <f>'[1]Beschr-Descr.'!C27</f>
        <v>0</v>
      </c>
      <c r="D90" s="517">
        <f>'[1]Beschr-Descr.'!D27</f>
        <v>0</v>
      </c>
      <c r="E90" s="296">
        <f>'[1]Beschr-Descr.'!E27</f>
        <v>0</v>
      </c>
      <c r="F90" s="486"/>
      <c r="G90" s="486"/>
    </row>
    <row r="91" spans="1:7" x14ac:dyDescent="0.2">
      <c r="A91" s="486" t="str">
        <f>'[1]Beschr-Descr.'!A28</f>
        <v>Una Tantum</v>
      </c>
      <c r="B91" s="517"/>
      <c r="C91" s="517">
        <f>'[1]Beschr-Descr.'!C28</f>
        <v>0</v>
      </c>
      <c r="D91" s="517">
        <f>'[1]Beschr-Descr.'!D28</f>
        <v>0</v>
      </c>
      <c r="E91" s="296">
        <f>'[1]Beschr-Descr.'!E28</f>
        <v>0</v>
      </c>
      <c r="F91" s="486"/>
      <c r="G91" s="486"/>
    </row>
    <row r="92" spans="1:7" x14ac:dyDescent="0.2">
      <c r="A92" s="486" t="str">
        <f>'[1]Beschr-Descr.'!A29</f>
        <v>Prämie</v>
      </c>
      <c r="B92" s="517"/>
      <c r="C92" s="517">
        <f>'[1]Beschr-Descr.'!C29</f>
        <v>0</v>
      </c>
      <c r="D92" s="517">
        <f>'[1]Beschr-Descr.'!D29</f>
        <v>0</v>
      </c>
      <c r="E92" s="296">
        <f>'[1]Beschr-Descr.'!E29</f>
        <v>0</v>
      </c>
      <c r="F92" s="486"/>
      <c r="G92" s="486"/>
    </row>
    <row r="93" spans="1:7" x14ac:dyDescent="0.2">
      <c r="A93" s="486">
        <f>'[1]Beschr-Descr.'!A30</f>
        <v>0</v>
      </c>
      <c r="B93" s="517"/>
      <c r="C93" s="517">
        <f>'[1]Beschr-Descr.'!C30</f>
        <v>0</v>
      </c>
      <c r="D93" s="517">
        <f>'[1]Beschr-Descr.'!D30</f>
        <v>0</v>
      </c>
      <c r="E93" s="296">
        <f>'[1]Beschr-Descr.'!E30</f>
        <v>0</v>
      </c>
      <c r="F93" s="486"/>
      <c r="G93" s="486"/>
    </row>
    <row r="94" spans="1:7" x14ac:dyDescent="0.2">
      <c r="A94" s="486">
        <f>'[1]Beschr-Descr.'!A31</f>
        <v>0</v>
      </c>
      <c r="B94" s="517"/>
      <c r="C94" s="517">
        <f>'[1]Beschr-Descr.'!C31</f>
        <v>0</v>
      </c>
      <c r="D94" s="517">
        <f>'[1]Beschr-Descr.'!D31</f>
        <v>0</v>
      </c>
      <c r="E94" s="296">
        <f>'[1]Beschr-Descr.'!E31</f>
        <v>0</v>
      </c>
      <c r="F94" s="486"/>
      <c r="G94" s="486"/>
    </row>
    <row r="95" spans="1:7" x14ac:dyDescent="0.2">
      <c r="A95" s="486" t="str">
        <f>'[1]Beschr-Descr.'!A32</f>
        <v xml:space="preserve">Retribuzione ordinaria </v>
      </c>
      <c r="B95" s="517"/>
      <c r="C95" s="517">
        <f>'[1]Beschr-Descr.'!C32</f>
        <v>0</v>
      </c>
      <c r="D95" s="517">
        <f>'[1]Beschr-Descr.'!D32</f>
        <v>0</v>
      </c>
      <c r="E95" s="296">
        <f>'[1]Beschr-Descr.'!E32</f>
        <v>0</v>
      </c>
      <c r="F95" s="486"/>
      <c r="G95" s="486"/>
    </row>
    <row r="96" spans="1:7" x14ac:dyDescent="0.2">
      <c r="A96" s="486" t="str">
        <f>'[1]Beschr-Descr.'!A33</f>
        <v>Ferie godute</v>
      </c>
      <c r="B96" s="517"/>
      <c r="C96" s="517">
        <f>'[1]Beschr-Descr.'!C33</f>
        <v>0</v>
      </c>
      <c r="D96" s="517">
        <f>'[1]Beschr-Descr.'!D33</f>
        <v>0</v>
      </c>
      <c r="E96" s="296">
        <f>'[1]Beschr-Descr.'!E33</f>
        <v>0</v>
      </c>
      <c r="F96" s="486"/>
      <c r="G96" s="486"/>
    </row>
    <row r="97" spans="1:7" x14ac:dyDescent="0.2">
      <c r="A97" s="486" t="str">
        <f>'[1]Beschr-Descr.'!A34</f>
        <v>Permessi goduti</v>
      </c>
      <c r="B97" s="517"/>
      <c r="C97" s="517">
        <f>'[1]Beschr-Descr.'!C34</f>
        <v>0</v>
      </c>
      <c r="D97" s="517">
        <f>'[1]Beschr-Descr.'!D34</f>
        <v>0</v>
      </c>
      <c r="E97" s="296">
        <f>'[1]Beschr-Descr.'!E34</f>
        <v>0</v>
      </c>
      <c r="F97" s="486"/>
      <c r="G97" s="486"/>
    </row>
    <row r="98" spans="1:7" x14ac:dyDescent="0.2">
      <c r="A98" s="486" t="str">
        <f>'[1]Beschr-Descr.'!A35</f>
        <v>Ferie non godute</v>
      </c>
      <c r="B98" s="517"/>
      <c r="C98" s="517">
        <f>'[1]Beschr-Descr.'!C35</f>
        <v>0</v>
      </c>
      <c r="D98" s="517">
        <f>'[1]Beschr-Descr.'!D35</f>
        <v>0</v>
      </c>
      <c r="E98" s="296">
        <f>'[1]Beschr-Descr.'!E35</f>
        <v>0</v>
      </c>
      <c r="F98" s="486"/>
      <c r="G98" s="486"/>
    </row>
    <row r="99" spans="1:7" x14ac:dyDescent="0.2">
      <c r="A99" s="486" t="str">
        <f>'[1]Beschr-Descr.'!A36</f>
        <v>Ferie non godute</v>
      </c>
      <c r="B99" s="517"/>
      <c r="C99" s="517">
        <f>'[1]Beschr-Descr.'!C36</f>
        <v>0</v>
      </c>
      <c r="D99" s="517">
        <f>'[1]Beschr-Descr.'!D36</f>
        <v>0</v>
      </c>
      <c r="E99" s="296">
        <f>'[1]Beschr-Descr.'!E36</f>
        <v>0</v>
      </c>
      <c r="F99" s="486"/>
      <c r="G99" s="486"/>
    </row>
    <row r="100" spans="1:7" x14ac:dyDescent="0.2">
      <c r="A100" s="486" t="str">
        <f>'[1]Beschr-Descr.'!A37</f>
        <v>Festività non godute</v>
      </c>
      <c r="B100" s="517"/>
      <c r="C100" s="517">
        <f>'[1]Beschr-Descr.'!C37</f>
        <v>0</v>
      </c>
      <c r="D100" s="517">
        <f>'[1]Beschr-Descr.'!D37</f>
        <v>0</v>
      </c>
      <c r="E100" s="296">
        <f>'[1]Beschr-Descr.'!E37</f>
        <v>0</v>
      </c>
      <c r="F100" s="486"/>
      <c r="G100" s="486"/>
    </row>
    <row r="101" spans="1:7" x14ac:dyDescent="0.2">
      <c r="A101" s="486" t="str">
        <f>'[1]Beschr-Descr.'!A38</f>
        <v>Indennità rischio cassa</v>
      </c>
      <c r="B101" s="517"/>
      <c r="C101" s="517">
        <f>'[1]Beschr-Descr.'!C38</f>
        <v>0</v>
      </c>
      <c r="D101" s="517">
        <f>'[1]Beschr-Descr.'!D38</f>
        <v>0</v>
      </c>
      <c r="E101" s="296">
        <f>'[1]Beschr-Descr.'!E38</f>
        <v>0</v>
      </c>
      <c r="F101" s="486"/>
      <c r="G101" s="486"/>
    </row>
    <row r="102" spans="1:7" x14ac:dyDescent="0.2">
      <c r="A102" s="486">
        <f>'[1]Beschr-Descr.'!A39</f>
        <v>0</v>
      </c>
      <c r="B102" s="517"/>
      <c r="C102" s="517">
        <f>'[1]Beschr-Descr.'!C39</f>
        <v>0</v>
      </c>
      <c r="D102" s="517">
        <f>'[1]Beschr-Descr.'!D39</f>
        <v>0</v>
      </c>
      <c r="E102" s="296">
        <f>'[1]Beschr-Descr.'!E39</f>
        <v>0</v>
      </c>
      <c r="F102" s="486"/>
      <c r="G102" s="486"/>
    </row>
    <row r="103" spans="1:7" x14ac:dyDescent="0.2">
      <c r="A103" s="486" t="str">
        <f>'[1]Beschr-Descr.'!A40</f>
        <v>Ore straordinarie 15%</v>
      </c>
      <c r="B103" s="517"/>
      <c r="C103" s="517">
        <f>'[1]Beschr-Descr.'!C40</f>
        <v>0</v>
      </c>
      <c r="D103" s="517">
        <f>'[1]Beschr-Descr.'!D40</f>
        <v>0</v>
      </c>
      <c r="E103" s="296">
        <f>'[1]Beschr-Descr.'!E40</f>
        <v>0.15</v>
      </c>
      <c r="F103" s="486"/>
      <c r="G103" s="486"/>
    </row>
    <row r="104" spans="1:7" x14ac:dyDescent="0.2">
      <c r="A104" s="486" t="str">
        <f>'[1]Beschr-Descr.'!A41</f>
        <v>Ore straordinarie 20%</v>
      </c>
      <c r="B104" s="517"/>
      <c r="C104" s="517">
        <f>'[1]Beschr-Descr.'!C41</f>
        <v>0</v>
      </c>
      <c r="D104" s="517">
        <f>'[1]Beschr-Descr.'!D41</f>
        <v>0</v>
      </c>
      <c r="E104" s="296">
        <f>'[1]Beschr-Descr.'!E41</f>
        <v>0.2</v>
      </c>
      <c r="F104" s="486"/>
      <c r="G104" s="486"/>
    </row>
    <row r="105" spans="1:7" x14ac:dyDescent="0.2">
      <c r="A105" s="486" t="str">
        <f>'[1]Beschr-Descr.'!A42</f>
        <v>Ore straordinarie 30%</v>
      </c>
      <c r="B105" s="517"/>
      <c r="C105" s="517">
        <f>'[1]Beschr-Descr.'!C42</f>
        <v>0</v>
      </c>
      <c r="D105" s="517">
        <f>'[1]Beschr-Descr.'!D42</f>
        <v>0</v>
      </c>
      <c r="E105" s="296">
        <f>'[1]Beschr-Descr.'!E42</f>
        <v>0.3</v>
      </c>
      <c r="F105" s="486"/>
      <c r="G105" s="486"/>
    </row>
    <row r="106" spans="1:7" x14ac:dyDescent="0.2">
      <c r="A106" s="486" t="str">
        <f>'[1]Beschr-Descr.'!A43</f>
        <v>Ore straordinarie 50%</v>
      </c>
      <c r="B106" s="517"/>
      <c r="C106" s="517">
        <f>'[1]Beschr-Descr.'!C43</f>
        <v>0</v>
      </c>
      <c r="D106" s="517">
        <f>'[1]Beschr-Descr.'!D43</f>
        <v>0</v>
      </c>
      <c r="E106" s="296">
        <f>'[1]Beschr-Descr.'!E43</f>
        <v>0.5</v>
      </c>
      <c r="F106" s="486"/>
      <c r="G106" s="486"/>
    </row>
    <row r="107" spans="1:7" x14ac:dyDescent="0.2">
      <c r="A107" s="486" t="str">
        <f>'[1]Beschr-Descr.'!A44</f>
        <v>Ore notturne 50%</v>
      </c>
      <c r="B107" s="517"/>
      <c r="C107" s="517">
        <f>'[1]Beschr-Descr.'!C44</f>
        <v>0</v>
      </c>
      <c r="D107" s="517">
        <f>'[1]Beschr-Descr.'!D44</f>
        <v>0</v>
      </c>
      <c r="E107" s="296">
        <f>'[1]Beschr-Descr.'!E44</f>
        <v>0.5</v>
      </c>
      <c r="F107" s="486"/>
      <c r="G107" s="486"/>
    </row>
    <row r="108" spans="1:7" x14ac:dyDescent="0.2">
      <c r="A108" s="486">
        <f>'[1]Beschr-Descr.'!A45</f>
        <v>0</v>
      </c>
      <c r="B108" s="517"/>
      <c r="C108" s="517">
        <f>'[1]Beschr-Descr.'!C45</f>
        <v>0</v>
      </c>
      <c r="D108" s="517">
        <f>'[1]Beschr-Descr.'!D45</f>
        <v>0</v>
      </c>
      <c r="E108" s="296">
        <f>'[1]Beschr-Descr.'!E45</f>
        <v>0</v>
      </c>
      <c r="F108" s="486"/>
      <c r="G108" s="486"/>
    </row>
    <row r="109" spans="1:7" x14ac:dyDescent="0.2">
      <c r="A109" s="486" t="str">
        <f>'[1]Beschr-Descr.'!A46</f>
        <v>Indennità di malattia totale</v>
      </c>
      <c r="B109" s="517"/>
      <c r="C109" s="517">
        <f>'[1]Beschr-Descr.'!C46</f>
        <v>0</v>
      </c>
      <c r="D109" s="517">
        <f>'[1]Beschr-Descr.'!D46</f>
        <v>0</v>
      </c>
      <c r="E109" s="296">
        <f>'[1]Beschr-Descr.'!E46</f>
        <v>0</v>
      </c>
      <c r="F109" s="486"/>
      <c r="G109" s="486"/>
    </row>
    <row r="110" spans="1:7" x14ac:dyDescent="0.2">
      <c r="A110" s="486" t="str">
        <f>'[1]Beschr-Descr.'!A47</f>
        <v>Indennità di malattia quota INPS 50%</v>
      </c>
      <c r="B110" s="517"/>
      <c r="C110" s="517">
        <f>'[1]Beschr-Descr.'!C47</f>
        <v>0</v>
      </c>
      <c r="D110" s="517">
        <f>'[1]Beschr-Descr.'!D47</f>
        <v>0</v>
      </c>
      <c r="E110" s="296">
        <f>'[1]Beschr-Descr.'!E47</f>
        <v>-0.5</v>
      </c>
      <c r="F110" s="486"/>
      <c r="G110" s="486"/>
    </row>
    <row r="111" spans="1:7" x14ac:dyDescent="0.2">
      <c r="A111" s="486" t="str">
        <f>'[1]Beschr-Descr.'!A48</f>
        <v>Indennità di malattia quota INPS 66,67%</v>
      </c>
      <c r="B111" s="517"/>
      <c r="C111" s="517">
        <f>'[1]Beschr-Descr.'!C48</f>
        <v>0</v>
      </c>
      <c r="D111" s="517">
        <f>'[1]Beschr-Descr.'!D48</f>
        <v>0</v>
      </c>
      <c r="E111" s="296">
        <f>'[1]Beschr-Descr.'!E48</f>
        <v>-0.66669999999999996</v>
      </c>
      <c r="F111" s="486"/>
      <c r="G111" s="486"/>
    </row>
    <row r="112" spans="1:7" x14ac:dyDescent="0.2">
      <c r="A112" s="486" t="str">
        <f>'[1]Beschr-Descr.'!A49</f>
        <v>Indennità di maternità importo totale</v>
      </c>
      <c r="B112" s="517"/>
      <c r="C112" s="517">
        <f>'[1]Beschr-Descr.'!C49</f>
        <v>0</v>
      </c>
      <c r="D112" s="517">
        <f>'[1]Beschr-Descr.'!D49</f>
        <v>0</v>
      </c>
      <c r="E112" s="296">
        <f>'[1]Beschr-Descr.'!E49</f>
        <v>0</v>
      </c>
      <c r="F112" s="486"/>
      <c r="G112" s="486"/>
    </row>
    <row r="113" spans="1:7" x14ac:dyDescent="0.2">
      <c r="A113" s="486" t="str">
        <f>'[1]Beschr-Descr.'!A50</f>
        <v>Indennità di maternità quota INPS 80,00%</v>
      </c>
      <c r="B113" s="517"/>
      <c r="C113" s="517">
        <f>'[1]Beschr-Descr.'!C50</f>
        <v>0</v>
      </c>
      <c r="D113" s="517">
        <f>'[1]Beschr-Descr.'!D50</f>
        <v>0</v>
      </c>
      <c r="E113" s="296">
        <f>'[1]Beschr-Descr.'!E50</f>
        <v>-0.8</v>
      </c>
      <c r="F113" s="486"/>
      <c r="G113" s="486"/>
    </row>
    <row r="114" spans="1:7" x14ac:dyDescent="0.2">
      <c r="A114" s="486" t="str">
        <f>'[1]Beschr-Descr.'!A51</f>
        <v>Lordizzazione indennità malattia quota INPS</v>
      </c>
      <c r="B114" s="517"/>
      <c r="C114" s="517">
        <f>'[1]Beschr-Descr.'!C51</f>
        <v>0</v>
      </c>
      <c r="D114" s="517">
        <f>'[1]Beschr-Descr.'!D51</f>
        <v>0</v>
      </c>
      <c r="E114" s="296">
        <f>'[1]Beschr-Descr.'!E51</f>
        <v>0.1012</v>
      </c>
      <c r="F114" s="486"/>
      <c r="G114" s="486"/>
    </row>
    <row r="115" spans="1:7" x14ac:dyDescent="0.2">
      <c r="A115" s="486">
        <f>'[1]Beschr-Descr.'!A52</f>
        <v>0</v>
      </c>
      <c r="B115" s="517"/>
      <c r="C115" s="517">
        <f>'[1]Beschr-Descr.'!C52</f>
        <v>0</v>
      </c>
      <c r="D115" s="517">
        <f>'[1]Beschr-Descr.'!D52</f>
        <v>0</v>
      </c>
      <c r="E115" s="296">
        <f>'[1]Beschr-Descr.'!E52</f>
        <v>0</v>
      </c>
      <c r="F115" s="486"/>
      <c r="G115" s="486"/>
    </row>
    <row r="116" spans="1:7" x14ac:dyDescent="0.2">
      <c r="A116" s="486" t="str">
        <f>'[1]Beschr-Descr.'!A53</f>
        <v>13a mensilità</v>
      </c>
      <c r="B116" s="517"/>
      <c r="C116" s="517">
        <f>'[1]Beschr-Descr.'!C53</f>
        <v>0</v>
      </c>
      <c r="D116" s="517">
        <f>'[1]Beschr-Descr.'!D53</f>
        <v>0</v>
      </c>
      <c r="E116" s="296">
        <f>'[1]Beschr-Descr.'!E53</f>
        <v>0</v>
      </c>
      <c r="F116" s="486"/>
      <c r="G116" s="486"/>
    </row>
    <row r="117" spans="1:7" x14ac:dyDescent="0.2">
      <c r="A117" s="486" t="str">
        <f>'[1]Beschr-Descr.'!A54</f>
        <v>14a mensilità</v>
      </c>
      <c r="B117" s="517"/>
      <c r="C117" s="517">
        <f>'[1]Beschr-Descr.'!C54</f>
        <v>0</v>
      </c>
      <c r="D117" s="517">
        <f>'[1]Beschr-Descr.'!D54</f>
        <v>0</v>
      </c>
      <c r="E117" s="296">
        <f>'[1]Beschr-Descr.'!E54</f>
        <v>0</v>
      </c>
      <c r="F117" s="486"/>
      <c r="G117" s="486"/>
    </row>
    <row r="118" spans="1:7" x14ac:dyDescent="0.2">
      <c r="A118" s="486" t="str">
        <f>'[1]Beschr-Descr.'!A55</f>
        <v>Mancato rispetto periodo preavviso licenziamento</v>
      </c>
      <c r="B118" s="517"/>
      <c r="C118" s="517">
        <f>'[1]Beschr-Descr.'!C55</f>
        <v>0</v>
      </c>
      <c r="D118" s="517">
        <f>'[1]Beschr-Descr.'!D55</f>
        <v>0</v>
      </c>
      <c r="E118" s="296">
        <f>'[1]Beschr-Descr.'!E55</f>
        <v>0</v>
      </c>
      <c r="F118" s="486"/>
      <c r="G118" s="486"/>
    </row>
    <row r="119" spans="1:7" x14ac:dyDescent="0.2">
      <c r="A119" s="486" t="str">
        <f>'[1]Beschr-Descr.'!A56</f>
        <v>Una Tantum</v>
      </c>
      <c r="B119" s="517"/>
      <c r="C119" s="517">
        <f>'[1]Beschr-Descr.'!C56</f>
        <v>0</v>
      </c>
      <c r="D119" s="517">
        <f>'[1]Beschr-Descr.'!D56</f>
        <v>0</v>
      </c>
      <c r="E119" s="296">
        <f>'[1]Beschr-Descr.'!E56</f>
        <v>0</v>
      </c>
      <c r="F119" s="486"/>
      <c r="G119" s="486"/>
    </row>
    <row r="120" spans="1:7" x14ac:dyDescent="0.2">
      <c r="A120" s="486" t="str">
        <f>'[1]Beschr-Descr.'!A57</f>
        <v>Premio</v>
      </c>
      <c r="B120" s="517"/>
      <c r="C120" s="517">
        <f>'[1]Beschr-Descr.'!C57</f>
        <v>0</v>
      </c>
      <c r="D120" s="517">
        <f>'[1]Beschr-Descr.'!D57</f>
        <v>0</v>
      </c>
      <c r="E120" s="296">
        <f>'[1]Beschr-Descr.'!E57</f>
        <v>0</v>
      </c>
      <c r="F120" s="486"/>
      <c r="G120" s="486"/>
    </row>
    <row r="121" spans="1:7" x14ac:dyDescent="0.2">
      <c r="A121" s="486">
        <f>'[1]Beschr-Descr.'!A58</f>
        <v>0</v>
      </c>
      <c r="B121" s="517"/>
      <c r="C121" s="517">
        <f>'[1]Beschr-Descr.'!C58</f>
        <v>0</v>
      </c>
      <c r="D121" s="517">
        <f>'[1]Beschr-Descr.'!D58</f>
        <v>0</v>
      </c>
      <c r="E121" s="296">
        <f>'[1]Beschr-Descr.'!E58</f>
        <v>0</v>
      </c>
      <c r="F121" s="486"/>
      <c r="G121" s="486"/>
    </row>
    <row r="122" spans="1:7" x14ac:dyDescent="0.2">
      <c r="A122" s="486">
        <f>'[1]Beschr-Descr.'!A63</f>
        <v>0</v>
      </c>
      <c r="B122" s="486"/>
      <c r="C122" s="486"/>
      <c r="D122" s="486"/>
      <c r="E122" s="486"/>
      <c r="F122" s="486"/>
      <c r="G122" s="486"/>
    </row>
    <row r="123" spans="1:7" x14ac:dyDescent="0.2">
      <c r="A123" s="486">
        <f>'[1]Beschr-Descr.'!A64</f>
        <v>0</v>
      </c>
      <c r="B123" s="486"/>
      <c r="C123" s="486"/>
      <c r="D123" s="486"/>
      <c r="E123" s="486"/>
      <c r="F123" s="486"/>
      <c r="G123" s="486"/>
    </row>
    <row r="124" spans="1:7" x14ac:dyDescent="0.2">
      <c r="A124" s="486">
        <f>'[1]Beschr-Descr.'!A65</f>
        <v>0</v>
      </c>
      <c r="B124" s="486"/>
      <c r="C124" s="486"/>
      <c r="D124" s="486"/>
      <c r="E124" s="486"/>
      <c r="F124" s="486"/>
      <c r="G124" s="486"/>
    </row>
    <row r="125" spans="1:7" x14ac:dyDescent="0.2">
      <c r="A125" s="486">
        <f>'[1]Beschr-Descr.'!A66</f>
        <v>0</v>
      </c>
      <c r="B125" s="486"/>
      <c r="C125" s="486"/>
      <c r="D125" s="486"/>
      <c r="E125" s="486"/>
      <c r="F125" s="486"/>
      <c r="G125" s="486"/>
    </row>
    <row r="126" spans="1:7" x14ac:dyDescent="0.2">
      <c r="A126" s="486">
        <f>'[1]Beschr-Descr.'!A67</f>
        <v>0</v>
      </c>
      <c r="B126" s="486"/>
      <c r="C126" s="486"/>
      <c r="D126" s="486"/>
      <c r="E126" s="486"/>
      <c r="F126" s="486"/>
      <c r="G126" s="486"/>
    </row>
    <row r="127" spans="1:7" x14ac:dyDescent="0.2">
      <c r="A127" s="486">
        <f>'[1]Beschr-Descr.'!A68</f>
        <v>0</v>
      </c>
      <c r="B127" s="486"/>
      <c r="C127" s="486"/>
      <c r="D127" s="486"/>
      <c r="E127" s="486"/>
      <c r="F127" s="486"/>
      <c r="G127" s="486"/>
    </row>
    <row r="128" spans="1:7" x14ac:dyDescent="0.2">
      <c r="A128" s="486">
        <f>'[1]Beschr-Descr.'!A69</f>
        <v>0</v>
      </c>
      <c r="B128" s="486"/>
      <c r="C128" s="486"/>
      <c r="D128" s="486"/>
      <c r="E128" s="486"/>
      <c r="F128" s="486"/>
      <c r="G128" s="486"/>
    </row>
    <row r="129" spans="1:7" x14ac:dyDescent="0.2">
      <c r="A129" s="486">
        <f>'[1]Beschr-Descr.'!A70</f>
        <v>0</v>
      </c>
      <c r="B129" s="486"/>
      <c r="C129" s="486"/>
      <c r="D129" s="486"/>
      <c r="E129" s="486"/>
      <c r="F129" s="486"/>
      <c r="G129" s="486"/>
    </row>
    <row r="130" spans="1:7" x14ac:dyDescent="0.2">
      <c r="A130" s="486">
        <f>'[1]Beschr-Descr.'!A71</f>
        <v>0</v>
      </c>
      <c r="B130" s="486"/>
      <c r="C130" s="486"/>
      <c r="D130" s="486"/>
      <c r="E130" s="486"/>
      <c r="F130" s="486"/>
      <c r="G130" s="486"/>
    </row>
    <row r="131" spans="1:7" x14ac:dyDescent="0.2">
      <c r="A131" s="486">
        <f>'[1]Beschr-Descr.'!A72</f>
        <v>0</v>
      </c>
      <c r="B131" s="486"/>
      <c r="C131" s="486"/>
      <c r="D131" s="486"/>
      <c r="E131" s="486"/>
      <c r="F131" s="486"/>
      <c r="G131" s="486"/>
    </row>
    <row r="132" spans="1:7" x14ac:dyDescent="0.2">
      <c r="A132" s="486">
        <f>'[1]Beschr-Descr.'!A73</f>
        <v>0</v>
      </c>
      <c r="B132" s="486"/>
      <c r="C132" s="486"/>
      <c r="D132" s="486"/>
      <c r="E132" s="486"/>
      <c r="F132" s="486"/>
      <c r="G132" s="486"/>
    </row>
    <row r="133" spans="1:7" x14ac:dyDescent="0.2">
      <c r="A133" s="486">
        <f>'[1]Beschr-Descr.'!A74</f>
        <v>0</v>
      </c>
      <c r="B133" s="486"/>
      <c r="C133" s="486"/>
      <c r="D133" s="486"/>
      <c r="E133" s="486"/>
      <c r="F133" s="486"/>
      <c r="G133" s="486"/>
    </row>
    <row r="134" spans="1:7" x14ac:dyDescent="0.2">
      <c r="A134" s="486">
        <f>'[1]Beschr-Descr.'!A75</f>
        <v>0</v>
      </c>
      <c r="B134" s="486"/>
      <c r="C134" s="486"/>
      <c r="D134" s="486"/>
      <c r="E134" s="486"/>
      <c r="F134" s="486"/>
      <c r="G134" s="486"/>
    </row>
    <row r="135" spans="1:7" x14ac:dyDescent="0.2">
      <c r="A135" s="486">
        <f>'[1]Beschr-Descr.'!A76</f>
        <v>0</v>
      </c>
      <c r="B135" s="486"/>
      <c r="C135" s="486"/>
      <c r="D135" s="486"/>
      <c r="E135" s="486"/>
      <c r="F135" s="486"/>
      <c r="G135" s="486"/>
    </row>
    <row r="136" spans="1:7" x14ac:dyDescent="0.2">
      <c r="A136" s="486">
        <f>'[1]Beschr-Descr.'!A77</f>
        <v>0</v>
      </c>
      <c r="B136" s="486"/>
      <c r="C136" s="486"/>
      <c r="D136" s="486"/>
      <c r="E136" s="486"/>
      <c r="F136" s="486"/>
      <c r="G136" s="486"/>
    </row>
    <row r="137" spans="1:7" x14ac:dyDescent="0.2">
      <c r="A137" s="486">
        <f>'[1]Beschr-Descr.'!A78</f>
        <v>0</v>
      </c>
      <c r="B137" s="486"/>
      <c r="C137" s="486"/>
      <c r="D137" s="486"/>
      <c r="E137" s="486"/>
      <c r="F137" s="486"/>
      <c r="G137" s="486"/>
    </row>
    <row r="138" spans="1:7" x14ac:dyDescent="0.2">
      <c r="A138" s="486">
        <f>'[1]Beschr-Descr.'!A79</f>
        <v>0</v>
      </c>
      <c r="B138" s="486"/>
      <c r="C138" s="486"/>
      <c r="D138" s="486"/>
      <c r="E138" s="486"/>
      <c r="F138" s="486"/>
      <c r="G138" s="486"/>
    </row>
    <row r="139" spans="1:7" x14ac:dyDescent="0.2">
      <c r="A139" s="486">
        <f>'[1]Beschr-Descr.'!A80</f>
        <v>0</v>
      </c>
      <c r="B139" s="486"/>
      <c r="C139" s="486"/>
      <c r="D139" s="486"/>
      <c r="E139" s="486"/>
      <c r="F139" s="486"/>
      <c r="G139" s="486"/>
    </row>
    <row r="140" spans="1:7" x14ac:dyDescent="0.2">
      <c r="A140" s="486">
        <f>'[1]Beschr-Descr.'!A81</f>
        <v>0</v>
      </c>
      <c r="B140" s="486"/>
      <c r="C140" s="486"/>
      <c r="D140" s="486"/>
      <c r="E140" s="486"/>
      <c r="F140" s="486"/>
      <c r="G140" s="486"/>
    </row>
    <row r="141" spans="1:7" x14ac:dyDescent="0.2">
      <c r="A141" s="486">
        <f>'[1]Beschr-Descr.'!A82</f>
        <v>0</v>
      </c>
      <c r="B141" s="486"/>
      <c r="C141" s="486"/>
      <c r="D141" s="486"/>
      <c r="E141" s="486"/>
      <c r="F141" s="486"/>
      <c r="G141" s="486"/>
    </row>
    <row r="142" spans="1:7" x14ac:dyDescent="0.2">
      <c r="A142" s="486">
        <f>'[1]Beschr-Descr.'!A83</f>
        <v>0</v>
      </c>
      <c r="B142" s="486"/>
      <c r="C142" s="486"/>
      <c r="D142" s="486"/>
      <c r="E142" s="486"/>
      <c r="F142" s="486"/>
      <c r="G142" s="486"/>
    </row>
    <row r="143" spans="1:7" x14ac:dyDescent="0.2">
      <c r="A143" s="486">
        <f>'[1]Beschr-Descr.'!A84</f>
        <v>0</v>
      </c>
      <c r="B143" s="486"/>
      <c r="C143" s="486"/>
      <c r="D143" s="486"/>
      <c r="E143" s="486"/>
      <c r="F143" s="486"/>
      <c r="G143" s="486"/>
    </row>
    <row r="144" spans="1:7" x14ac:dyDescent="0.2">
      <c r="A144" s="486">
        <f>'[1]Beschr-Descr.'!A85</f>
        <v>0</v>
      </c>
      <c r="B144" s="486"/>
      <c r="C144" s="486"/>
      <c r="D144" s="486"/>
      <c r="E144" s="486"/>
      <c r="F144" s="486"/>
      <c r="G144" s="486"/>
    </row>
    <row r="145" spans="1:7" x14ac:dyDescent="0.2">
      <c r="A145" s="486">
        <f>'[1]Beschr-Descr.'!A86</f>
        <v>0</v>
      </c>
      <c r="B145" s="486"/>
      <c r="C145" s="486"/>
      <c r="D145" s="486"/>
      <c r="E145" s="486"/>
      <c r="F145" s="486"/>
      <c r="G145" s="486"/>
    </row>
    <row r="146" spans="1:7" x14ac:dyDescent="0.2">
      <c r="A146" s="486">
        <f>'[1]Beschr-Descr.'!A87</f>
        <v>0</v>
      </c>
      <c r="B146" s="486"/>
      <c r="C146" s="486"/>
      <c r="D146" s="486"/>
      <c r="E146" s="486"/>
      <c r="F146" s="486"/>
      <c r="G146" s="486"/>
    </row>
    <row r="147" spans="1:7" x14ac:dyDescent="0.2">
      <c r="A147" s="486">
        <f>'[1]Beschr-Descr.'!A88</f>
        <v>0</v>
      </c>
      <c r="B147" s="486"/>
      <c r="C147" s="486"/>
      <c r="D147" s="486"/>
      <c r="E147" s="486"/>
      <c r="F147" s="486"/>
      <c r="G147" s="486"/>
    </row>
    <row r="148" spans="1:7" x14ac:dyDescent="0.2">
      <c r="A148" s="486">
        <f>'[1]Beschr-Descr.'!A89</f>
        <v>0</v>
      </c>
      <c r="B148" s="486"/>
      <c r="C148" s="486"/>
      <c r="D148" s="486"/>
      <c r="E148" s="486"/>
      <c r="F148" s="486"/>
      <c r="G148" s="486"/>
    </row>
    <row r="149" spans="1:7" x14ac:dyDescent="0.2">
      <c r="A149" s="486">
        <f>'[1]Beschr-Descr.'!A90</f>
        <v>0</v>
      </c>
      <c r="B149" s="486"/>
      <c r="C149" s="486"/>
      <c r="D149" s="486"/>
      <c r="E149" s="486"/>
      <c r="F149" s="486"/>
      <c r="G149" s="486"/>
    </row>
    <row r="150" spans="1:7" x14ac:dyDescent="0.2">
      <c r="A150" s="486">
        <f>'[1]Beschr-Descr.'!A91</f>
        <v>0</v>
      </c>
      <c r="B150" s="486"/>
      <c r="C150" s="486"/>
      <c r="D150" s="486"/>
      <c r="E150" s="486"/>
      <c r="F150" s="486"/>
      <c r="G150" s="486"/>
    </row>
    <row r="151" spans="1:7" x14ac:dyDescent="0.2">
      <c r="A151" s="486">
        <f>'[1]Beschr-Descr.'!A92</f>
        <v>0</v>
      </c>
      <c r="B151" s="486"/>
      <c r="C151" s="486"/>
      <c r="D151" s="486"/>
      <c r="E151" s="486"/>
      <c r="F151" s="486"/>
      <c r="G151" s="486"/>
    </row>
    <row r="152" spans="1:7" x14ac:dyDescent="0.2">
      <c r="A152" s="486">
        <f>'[1]Beschr-Descr.'!A93</f>
        <v>0</v>
      </c>
      <c r="B152" s="486"/>
      <c r="C152" s="486"/>
      <c r="D152" s="486"/>
      <c r="E152" s="486"/>
      <c r="F152" s="486"/>
      <c r="G152" s="486"/>
    </row>
    <row r="153" spans="1:7" x14ac:dyDescent="0.2">
      <c r="A153" s="486">
        <f>'[1]Beschr-Descr.'!A94</f>
        <v>0</v>
      </c>
      <c r="B153" s="486"/>
      <c r="C153" s="486"/>
      <c r="D153" s="486"/>
      <c r="E153" s="486"/>
      <c r="F153" s="486"/>
      <c r="G153" s="486"/>
    </row>
    <row r="154" spans="1:7" x14ac:dyDescent="0.2">
      <c r="A154" s="486">
        <f>'[1]Beschr-Descr.'!A95</f>
        <v>0</v>
      </c>
      <c r="B154" s="486"/>
      <c r="C154" s="486"/>
      <c r="D154" s="486"/>
      <c r="E154" s="486"/>
      <c r="F154" s="486"/>
      <c r="G154" s="486"/>
    </row>
    <row r="155" spans="1:7" x14ac:dyDescent="0.2">
      <c r="A155" s="486">
        <f>'[1]Beschr-Descr.'!A96</f>
        <v>0</v>
      </c>
      <c r="B155" s="486"/>
      <c r="C155" s="486"/>
      <c r="D155" s="486"/>
      <c r="E155" s="486"/>
      <c r="F155" s="486"/>
      <c r="G155" s="486"/>
    </row>
    <row r="156" spans="1:7" x14ac:dyDescent="0.2">
      <c r="A156" s="486">
        <f>'[1]Beschr-Descr.'!A97</f>
        <v>0</v>
      </c>
      <c r="B156" s="486"/>
      <c r="C156" s="486"/>
      <c r="D156" s="486"/>
      <c r="E156" s="486"/>
      <c r="F156" s="486"/>
      <c r="G156" s="486"/>
    </row>
    <row r="157" spans="1:7" x14ac:dyDescent="0.2">
      <c r="A157" s="486">
        <f>'[1]Beschr-Descr.'!A98</f>
        <v>0</v>
      </c>
      <c r="B157" s="486"/>
      <c r="C157" s="486"/>
      <c r="D157" s="486"/>
      <c r="E157" s="486"/>
      <c r="F157" s="486"/>
      <c r="G157" s="486"/>
    </row>
    <row r="158" spans="1:7" x14ac:dyDescent="0.2">
      <c r="A158" s="486">
        <f>'[1]Beschr-Descr.'!A99</f>
        <v>0</v>
      </c>
      <c r="B158" s="486"/>
      <c r="C158" s="486"/>
      <c r="D158" s="486"/>
      <c r="E158" s="486"/>
      <c r="F158" s="486"/>
      <c r="G158" s="486"/>
    </row>
    <row r="159" spans="1:7" x14ac:dyDescent="0.2">
      <c r="A159" s="486">
        <f>'[1]Beschr-Descr.'!A100</f>
        <v>0</v>
      </c>
      <c r="B159" s="486"/>
      <c r="C159" s="486"/>
      <c r="D159" s="486"/>
      <c r="E159" s="486"/>
      <c r="F159" s="486"/>
      <c r="G159" s="486"/>
    </row>
    <row r="160" spans="1:7" x14ac:dyDescent="0.2">
      <c r="A160" s="486">
        <f>'[1]Beschr-Descr.'!A101</f>
        <v>0</v>
      </c>
      <c r="B160" s="486"/>
      <c r="C160" s="486"/>
      <c r="D160" s="486"/>
      <c r="E160" s="486"/>
      <c r="F160" s="486"/>
      <c r="G160" s="486"/>
    </row>
    <row r="161" spans="1:7" x14ac:dyDescent="0.2">
      <c r="A161" s="486">
        <f>'[1]Beschr-Descr.'!A102</f>
        <v>0</v>
      </c>
      <c r="B161" s="486"/>
      <c r="C161" s="486"/>
      <c r="D161" s="486"/>
      <c r="E161" s="486"/>
      <c r="F161" s="486"/>
      <c r="G161" s="486"/>
    </row>
    <row r="162" spans="1:7" x14ac:dyDescent="0.2">
      <c r="A162" s="486"/>
      <c r="B162" s="486"/>
      <c r="C162" s="486"/>
      <c r="D162" s="486"/>
      <c r="E162" s="486"/>
      <c r="F162" s="486"/>
      <c r="G162" s="486"/>
    </row>
    <row r="163" spans="1:7" x14ac:dyDescent="0.2">
      <c r="A163" s="486"/>
      <c r="B163" s="486"/>
      <c r="C163" s="486"/>
      <c r="D163" s="486"/>
      <c r="E163" s="486"/>
      <c r="F163" s="486"/>
      <c r="G163" s="486"/>
    </row>
    <row r="164" spans="1:7" x14ac:dyDescent="0.2">
      <c r="A164" s="486"/>
      <c r="B164" s="486"/>
      <c r="C164" s="486"/>
      <c r="D164" s="486"/>
      <c r="E164" s="486"/>
      <c r="F164" s="486"/>
      <c r="G164" s="486"/>
    </row>
    <row r="165" spans="1:7" x14ac:dyDescent="0.2">
      <c r="A165" s="486"/>
      <c r="B165" s="486"/>
      <c r="C165" s="486"/>
      <c r="D165" s="486"/>
      <c r="E165" s="486"/>
      <c r="F165" s="486"/>
      <c r="G165" s="486"/>
    </row>
    <row r="166" spans="1:7" x14ac:dyDescent="0.2">
      <c r="A166" s="486"/>
      <c r="B166" s="486"/>
      <c r="C166" s="486"/>
      <c r="D166" s="486"/>
      <c r="E166" s="486"/>
      <c r="F166" s="486"/>
      <c r="G166" s="486"/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6"/>
  <sheetViews>
    <sheetView showGridLines="0" showZeros="0" topLeftCell="A16" zoomScaleNormal="100" workbookViewId="0"/>
  </sheetViews>
  <sheetFormatPr baseColWidth="10" defaultColWidth="11.42578125" defaultRowHeight="12.75" x14ac:dyDescent="0.2"/>
  <cols>
    <col min="1" max="1" width="11.28515625" style="460" customWidth="1"/>
    <col min="2" max="2" width="11.7109375" style="460" customWidth="1"/>
    <col min="3" max="3" width="10.85546875" style="460" customWidth="1"/>
    <col min="4" max="4" width="11.28515625" style="460" customWidth="1"/>
    <col min="5" max="5" width="5.42578125" style="460" customWidth="1"/>
    <col min="6" max="6" width="6" style="460" customWidth="1"/>
    <col min="7" max="7" width="11.140625" style="460" customWidth="1"/>
    <col min="8" max="8" width="9.85546875" style="460" customWidth="1"/>
    <col min="9" max="9" width="9.140625" style="460" customWidth="1"/>
    <col min="10" max="10" width="2.5703125" style="413" customWidth="1"/>
    <col min="11" max="15" width="2.140625" style="486" customWidth="1"/>
    <col min="16" max="16" width="2.28515625" style="460" customWidth="1"/>
    <col min="17" max="17" width="11.28515625" style="460" customWidth="1"/>
    <col min="18" max="18" width="10.7109375" style="460" customWidth="1"/>
    <col min="19" max="19" width="9" style="460" bestFit="1" customWidth="1"/>
    <col min="20" max="20" width="11.28515625" style="460" bestFit="1" customWidth="1"/>
    <col min="21" max="21" width="8.5703125" style="460" bestFit="1" customWidth="1"/>
    <col min="22" max="24" width="10.7109375" style="460" customWidth="1"/>
    <col min="25" max="16384" width="11.42578125" style="460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[1]Firma!$A$20</f>
        <v>45200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452"/>
      <c r="D3" s="452"/>
      <c r="E3" s="690" t="s">
        <v>126</v>
      </c>
      <c r="F3" s="691"/>
      <c r="G3" s="453" t="str">
        <f>VLOOKUP(P3,'[1]Mit-1'!$A$5:$B$19,2,FALSE)</f>
        <v>Mustermann Max</v>
      </c>
      <c r="H3" s="454"/>
      <c r="I3" s="455"/>
      <c r="J3" s="407"/>
      <c r="K3" s="456"/>
      <c r="L3" s="456"/>
      <c r="M3" s="456"/>
      <c r="N3" s="456"/>
      <c r="O3" s="457"/>
      <c r="P3" s="458">
        <v>1</v>
      </c>
      <c r="Q3" s="459"/>
      <c r="R3" s="459"/>
      <c r="S3" s="459"/>
      <c r="T3" s="459"/>
      <c r="U3" s="459"/>
      <c r="V3" s="459"/>
      <c r="W3" s="459"/>
      <c r="X3" s="459"/>
      <c r="Y3" s="459"/>
      <c r="Z3" s="459"/>
    </row>
    <row r="4" spans="1:26" ht="10.5" customHeight="1" x14ac:dyDescent="0.2">
      <c r="A4" s="129" t="s">
        <v>101</v>
      </c>
      <c r="B4" s="431">
        <f>[1]Firma!$B$4</f>
        <v>0</v>
      </c>
      <c r="C4" s="431"/>
      <c r="D4" s="431"/>
      <c r="E4" s="269" t="s">
        <v>127</v>
      </c>
      <c r="F4" s="461"/>
      <c r="G4" s="41" t="str">
        <f>VLOOKUP($P$3,'[1]Mit-1'!$A$5:$U$19,3,FALSE)</f>
        <v>39100 Bozen, Brennerstrasse 2</v>
      </c>
      <c r="H4" s="462"/>
      <c r="I4" s="463"/>
      <c r="J4" s="408"/>
      <c r="K4" s="461"/>
      <c r="L4" s="461"/>
      <c r="M4" s="461"/>
      <c r="N4" s="452"/>
      <c r="O4" s="464"/>
      <c r="P4" s="459"/>
      <c r="V4" s="459"/>
      <c r="W4" s="459"/>
      <c r="X4" s="459"/>
      <c r="Y4" s="459"/>
      <c r="Z4" s="459"/>
    </row>
    <row r="5" spans="1:26" ht="16.899999999999999" customHeight="1" x14ac:dyDescent="0.2">
      <c r="A5" s="130" t="s">
        <v>102</v>
      </c>
      <c r="B5" s="391">
        <f>[1]Firma!$C$4</f>
        <v>0</v>
      </c>
      <c r="C5" s="431"/>
      <c r="D5" s="431"/>
      <c r="E5" s="690" t="s">
        <v>103</v>
      </c>
      <c r="F5" s="691"/>
      <c r="G5" s="41" t="str">
        <f>VLOOKUP($P$3,'[1]Mit-1'!$A$5:$U$19,6,FALSE)</f>
        <v>AAABBB84B11B220G</v>
      </c>
      <c r="H5" s="462"/>
      <c r="I5" s="455"/>
      <c r="J5" s="408"/>
      <c r="K5" s="452"/>
      <c r="L5" s="452"/>
      <c r="M5" s="452"/>
      <c r="N5" s="452"/>
      <c r="O5" s="464"/>
      <c r="P5" s="459"/>
      <c r="Q5" s="747" t="s">
        <v>251</v>
      </c>
      <c r="R5" s="748"/>
      <c r="S5" s="749"/>
      <c r="T5" s="459"/>
      <c r="U5" s="459"/>
      <c r="V5" s="459"/>
      <c r="W5" s="459"/>
      <c r="X5" s="459"/>
      <c r="Y5" s="459"/>
      <c r="Z5" s="459"/>
    </row>
    <row r="6" spans="1:26" ht="16.899999999999999" customHeight="1" x14ac:dyDescent="0.2">
      <c r="A6" s="130" t="s">
        <v>103</v>
      </c>
      <c r="B6" s="391">
        <f>[1]Firma!$D$4</f>
        <v>0</v>
      </c>
      <c r="C6" s="431"/>
      <c r="D6" s="431"/>
      <c r="E6" s="269" t="s">
        <v>128</v>
      </c>
      <c r="F6" s="461"/>
      <c r="G6" s="568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461"/>
      <c r="L6" s="461"/>
      <c r="M6" s="461"/>
      <c r="N6" s="452"/>
      <c r="O6" s="464"/>
      <c r="P6" s="459"/>
      <c r="Q6" s="750"/>
      <c r="R6" s="751"/>
      <c r="S6" s="752"/>
      <c r="T6" s="459"/>
      <c r="U6" s="459"/>
      <c r="V6" s="459"/>
      <c r="W6" s="459"/>
      <c r="X6" s="459"/>
      <c r="Y6" s="459"/>
      <c r="Z6" s="459"/>
    </row>
    <row r="7" spans="1:26" ht="16.899999999999999" customHeight="1" x14ac:dyDescent="0.2">
      <c r="A7" s="129" t="s">
        <v>104</v>
      </c>
      <c r="B7" s="391">
        <f>[1]Firma!$E$4</f>
        <v>0</v>
      </c>
      <c r="C7" s="431"/>
      <c r="D7" s="431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461"/>
      <c r="L7" s="461"/>
      <c r="M7" s="461"/>
      <c r="N7" s="452"/>
      <c r="O7" s="464"/>
      <c r="P7" s="459"/>
      <c r="Q7" s="753" t="s">
        <v>134</v>
      </c>
      <c r="R7" s="754"/>
      <c r="S7" s="755"/>
      <c r="T7" s="459"/>
      <c r="U7" s="459"/>
      <c r="V7" s="459"/>
      <c r="W7" s="459"/>
      <c r="X7" s="459"/>
      <c r="Y7" s="459"/>
      <c r="Z7" s="459"/>
    </row>
    <row r="8" spans="1:26" ht="16.899999999999999" customHeight="1" x14ac:dyDescent="0.2">
      <c r="A8" s="129" t="s">
        <v>105</v>
      </c>
      <c r="B8" s="391">
        <f>[1]Firma!$F$4</f>
        <v>0</v>
      </c>
      <c r="C8" s="431"/>
      <c r="D8" s="431"/>
      <c r="E8" s="690" t="s">
        <v>130</v>
      </c>
      <c r="F8" s="691"/>
      <c r="G8" s="217">
        <f>VLOOKUP($P$3,'[1]Mit-2'!$A$5:$P$19,13,FALSE)</f>
        <v>2</v>
      </c>
      <c r="H8" s="133" t="s">
        <v>231</v>
      </c>
      <c r="I8" s="221">
        <f>VLOOKUP($P$3,'[1]Mit-2'!$A$46:$AD$60,27,FALSE)</f>
        <v>2</v>
      </c>
      <c r="J8" s="610" t="s">
        <v>226</v>
      </c>
      <c r="K8" s="611"/>
      <c r="L8" s="611"/>
      <c r="M8" s="611"/>
      <c r="N8" s="611"/>
      <c r="O8" s="612"/>
      <c r="P8" s="459"/>
      <c r="Q8" s="753"/>
      <c r="R8" s="754"/>
      <c r="S8" s="755"/>
      <c r="T8" s="459"/>
      <c r="U8" s="459"/>
      <c r="V8" s="459"/>
      <c r="W8" s="459"/>
      <c r="X8" s="459"/>
      <c r="Y8" s="459"/>
      <c r="Z8" s="459"/>
    </row>
    <row r="9" spans="1:26" ht="16.899999999999999" customHeight="1" x14ac:dyDescent="0.2">
      <c r="A9" s="465"/>
      <c r="B9" s="456"/>
      <c r="C9" s="456"/>
      <c r="D9" s="456"/>
      <c r="E9" s="690" t="s">
        <v>131</v>
      </c>
      <c r="F9" s="691"/>
      <c r="G9" s="581">
        <f>VLOOKUP($P$3,'[1]Mit-2'!$A$5:$AD$19,27,FALSE)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459"/>
      <c r="Q9" s="466"/>
      <c r="R9" s="561"/>
      <c r="S9" s="464"/>
      <c r="T9" s="467">
        <f>[1]Firma!$B$20</f>
        <v>31</v>
      </c>
      <c r="U9" s="459"/>
      <c r="V9" s="459"/>
      <c r="W9" s="459"/>
      <c r="X9" s="459"/>
      <c r="Y9" s="459"/>
      <c r="Z9" s="459"/>
    </row>
    <row r="10" spans="1:26" ht="10.9" customHeight="1" x14ac:dyDescent="0.2">
      <c r="A10" s="271" t="s">
        <v>108</v>
      </c>
      <c r="B10" s="468"/>
      <c r="C10" s="468"/>
      <c r="D10" s="468"/>
      <c r="E10" s="468"/>
      <c r="F10" s="468"/>
      <c r="G10" s="469"/>
      <c r="H10" s="469"/>
      <c r="I10" s="470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459"/>
      <c r="Q10" s="673" t="s">
        <v>207</v>
      </c>
      <c r="R10" s="674"/>
      <c r="S10" s="675"/>
      <c r="T10" s="459"/>
      <c r="U10" s="459"/>
      <c r="V10" s="459"/>
      <c r="W10" s="459"/>
      <c r="X10" s="459"/>
      <c r="Y10" s="459"/>
      <c r="Z10" s="459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x14ac:dyDescent="0.2">
      <c r="A12" s="471">
        <f>VLOOKUP($G$8,'[1]Lohntab-Tab-retr.'!$A$7:$O$15,12,FALSE)</f>
        <v>1477.83</v>
      </c>
      <c r="B12" s="472">
        <f>VLOOKUP($G$8,'[1]Lohntab-Tab-retr.'!$A$21:$O$29,12,FALSE)</f>
        <v>532.54</v>
      </c>
      <c r="C12" s="472">
        <f>I8*VLOOKUP($G$8,'[1]Lohntab-Tab-retr.'!$A$63:$O$71,12,FALSE)</f>
        <v>45.66</v>
      </c>
      <c r="D12" s="472">
        <f>VLOOKUP($G$8,'[1]Lohntab-Tab-retr.'!$A$35:$O$43,12,FALSE)</f>
        <v>0</v>
      </c>
      <c r="E12" s="745">
        <f>VLOOKUP($G$8,'[1]Lohntab-Tab-retr.'!$A$49:$O$57,12,FALSE)</f>
        <v>8</v>
      </c>
      <c r="F12" s="745"/>
      <c r="G12" s="472">
        <f>VLOOKUP($P$3,'[1]Mit-2'!$A$24:$P$38,13,FALSE)</f>
        <v>300</v>
      </c>
      <c r="H12" s="472">
        <f>VLOOKUP($G$8,'[1]Lohntab-Tab-retr.'!$A$77:$O$85,12,FALSE)</f>
        <v>0</v>
      </c>
      <c r="I12" s="473"/>
      <c r="J12" s="617"/>
      <c r="K12" s="620"/>
      <c r="L12" s="623"/>
      <c r="M12" s="623"/>
      <c r="N12" s="623"/>
      <c r="O12" s="693"/>
      <c r="P12" s="459"/>
      <c r="Q12" s="459"/>
      <c r="R12" s="459"/>
      <c r="S12" s="459"/>
      <c r="T12" s="459"/>
      <c r="U12" s="459"/>
      <c r="V12" s="459"/>
      <c r="W12" s="459"/>
      <c r="X12" s="459"/>
      <c r="Y12" s="459"/>
      <c r="Z12" s="459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474">
        <f>[1]Tab!G140</f>
        <v>168</v>
      </c>
      <c r="B14" s="475">
        <f>[1]Tab!G141</f>
        <v>26</v>
      </c>
      <c r="C14" s="419">
        <f>ROUND(I14/A14,5)</f>
        <v>14.07161</v>
      </c>
      <c r="D14" s="419">
        <f>ROUND(I14/B14,5)</f>
        <v>90.924229999999994</v>
      </c>
      <c r="E14" s="746">
        <f>COUNT(K19:K49)</f>
        <v>0</v>
      </c>
      <c r="F14" s="746"/>
      <c r="G14" s="475">
        <f>K50</f>
        <v>0</v>
      </c>
      <c r="H14" s="475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476"/>
      <c r="Q14" s="476"/>
      <c r="R14" s="476"/>
      <c r="S14" s="476"/>
      <c r="T14" s="476"/>
      <c r="U14" s="476"/>
      <c r="V14" s="476"/>
      <c r="W14" s="476"/>
      <c r="X14" s="476"/>
      <c r="Y14" s="476"/>
      <c r="Z14" s="476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2">
        <f>'09'!A16+(VLOOKUP($P$3,'[1]Mit-2'!$A$90:$P$104,13,FALSE))*G9%</f>
        <v>14.43</v>
      </c>
      <c r="B16" s="569">
        <f>M50</f>
        <v>0</v>
      </c>
      <c r="C16" s="569">
        <f>A16-B16</f>
        <v>14.43</v>
      </c>
      <c r="D16" s="569">
        <f>'09'!D16+(VLOOKUP($P$3,'[1]Mit-2'!$A$90:$AD$104,27,FALSE))*G9%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</row>
    <row r="17" spans="1:26" ht="3.75" customHeight="1" x14ac:dyDescent="0.2">
      <c r="A17" s="477"/>
      <c r="B17" s="478"/>
      <c r="C17" s="478"/>
      <c r="D17" s="478"/>
      <c r="E17" s="478"/>
      <c r="F17" s="478"/>
      <c r="G17" s="478"/>
      <c r="H17" s="478"/>
      <c r="I17" s="479"/>
      <c r="J17" s="617"/>
      <c r="K17" s="620"/>
      <c r="L17" s="623"/>
      <c r="M17" s="623"/>
      <c r="N17" s="623"/>
      <c r="O17" s="693"/>
      <c r="P17" s="459"/>
      <c r="Q17" s="459"/>
      <c r="R17" s="459"/>
      <c r="S17" s="459"/>
      <c r="T17" s="459"/>
      <c r="U17" s="459"/>
      <c r="V17" s="459"/>
      <c r="W17" s="459"/>
      <c r="X17" s="459"/>
      <c r="Y17" s="459"/>
      <c r="Z17" s="459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774"/>
      <c r="B19" s="775"/>
      <c r="C19" s="775"/>
      <c r="D19" s="557"/>
      <c r="E19" s="558"/>
      <c r="F19" s="556"/>
      <c r="G19" s="480">
        <f>VLOOKUP(A19,A66:F121,5,FALSE)</f>
        <v>0</v>
      </c>
      <c r="H19" s="436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459"/>
      <c r="W19" s="459"/>
      <c r="X19" s="459"/>
      <c r="Y19" s="10"/>
      <c r="Z19" s="9"/>
    </row>
    <row r="20" spans="1:26" ht="12" customHeight="1" x14ac:dyDescent="0.2">
      <c r="A20" s="768"/>
      <c r="B20" s="769"/>
      <c r="C20" s="769"/>
      <c r="D20" s="557"/>
      <c r="E20" s="558"/>
      <c r="F20" s="556"/>
      <c r="G20" s="480">
        <f>VLOOKUP(A20,A67:F122,5,FALSE)</f>
        <v>0</v>
      </c>
      <c r="H20" s="436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768"/>
      <c r="B21" s="769"/>
      <c r="C21" s="769"/>
      <c r="D21" s="557"/>
      <c r="E21" s="558"/>
      <c r="F21" s="556"/>
      <c r="G21" s="480">
        <f>VLOOKUP(A21,A66:F121,5,FALSE)</f>
        <v>0</v>
      </c>
      <c r="H21" s="436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768"/>
      <c r="B22" s="769"/>
      <c r="C22" s="769"/>
      <c r="D22" s="557"/>
      <c r="E22" s="558"/>
      <c r="F22" s="556"/>
      <c r="G22" s="480">
        <f>VLOOKUP(A22,A67:F122,5,FALSE)</f>
        <v>0</v>
      </c>
      <c r="H22" s="436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768"/>
      <c r="B23" s="769"/>
      <c r="C23" s="769"/>
      <c r="D23" s="557"/>
      <c r="E23" s="558"/>
      <c r="F23" s="556"/>
      <c r="G23" s="480">
        <f t="shared" ref="G23:G28" si="2">VLOOKUP(A23,A67:F122,5,FALSE)</f>
        <v>0</v>
      </c>
      <c r="H23" s="436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768"/>
      <c r="B24" s="769"/>
      <c r="C24" s="769"/>
      <c r="D24" s="557"/>
      <c r="E24" s="558"/>
      <c r="F24" s="556"/>
      <c r="G24" s="480">
        <f t="shared" si="2"/>
        <v>0</v>
      </c>
      <c r="H24" s="436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768"/>
      <c r="B25" s="769"/>
      <c r="C25" s="769"/>
      <c r="D25" s="557"/>
      <c r="E25" s="558"/>
      <c r="F25" s="556"/>
      <c r="G25" s="480">
        <f t="shared" si="2"/>
        <v>0</v>
      </c>
      <c r="H25" s="436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756"/>
      <c r="B26" s="757"/>
      <c r="C26" s="757"/>
      <c r="D26" s="555"/>
      <c r="E26" s="551"/>
      <c r="F26" s="556"/>
      <c r="G26" s="480">
        <f t="shared" si="2"/>
        <v>0</v>
      </c>
      <c r="H26" s="436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756"/>
      <c r="B27" s="757"/>
      <c r="C27" s="757"/>
      <c r="D27" s="555"/>
      <c r="E27" s="551"/>
      <c r="F27" s="556"/>
      <c r="G27" s="480">
        <f t="shared" si="2"/>
        <v>0</v>
      </c>
      <c r="H27" s="436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756"/>
      <c r="B28" s="757"/>
      <c r="C28" s="757"/>
      <c r="D28" s="555"/>
      <c r="E28" s="551"/>
      <c r="F28" s="556"/>
      <c r="G28" s="480">
        <f t="shared" si="2"/>
        <v>0</v>
      </c>
      <c r="H28" s="436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481"/>
      <c r="C30" s="482"/>
      <c r="D30" s="482"/>
      <c r="E30" s="482"/>
      <c r="F30" s="146" t="s">
        <v>55</v>
      </c>
      <c r="G30" s="437">
        <f>ROUND(I29,0)</f>
        <v>0</v>
      </c>
      <c r="H30" s="420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459"/>
      <c r="Z30" s="459"/>
    </row>
    <row r="31" spans="1:26" ht="12" customHeight="1" x14ac:dyDescent="0.2">
      <c r="A31" s="148" t="s">
        <v>237</v>
      </c>
      <c r="B31" s="483"/>
      <c r="C31" s="484"/>
      <c r="D31" s="484"/>
      <c r="E31" s="484"/>
      <c r="F31" s="147" t="s">
        <v>55</v>
      </c>
      <c r="G31" s="438">
        <f>ROUND(I29,2)</f>
        <v>0</v>
      </c>
      <c r="H31" s="421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459"/>
      <c r="Z31" s="459"/>
    </row>
    <row r="32" spans="1:26" ht="12" customHeight="1" x14ac:dyDescent="0.2">
      <c r="A32" s="148" t="s">
        <v>234</v>
      </c>
      <c r="B32" s="483"/>
      <c r="C32" s="484"/>
      <c r="D32" s="484"/>
      <c r="E32" s="484"/>
      <c r="F32" s="147" t="s">
        <v>55</v>
      </c>
      <c r="G32" s="438">
        <f>IF(I29=0,0,IF(R9&gt;0,SUM(A12:B12)/T9*R9,SUM(A12:B12)))</f>
        <v>0</v>
      </c>
      <c r="H32" s="421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459"/>
      <c r="Z32" s="459"/>
    </row>
    <row r="33" spans="1:26" ht="12" customHeight="1" x14ac:dyDescent="0.2">
      <c r="A33" s="148" t="s">
        <v>235</v>
      </c>
      <c r="B33" s="483"/>
      <c r="C33" s="484"/>
      <c r="D33" s="484"/>
      <c r="E33" s="484"/>
      <c r="F33" s="147" t="s">
        <v>55</v>
      </c>
      <c r="G33" s="438">
        <f>G30</f>
        <v>0</v>
      </c>
      <c r="H33" s="421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459"/>
      <c r="Z33" s="459"/>
    </row>
    <row r="34" spans="1:26" ht="12" customHeight="1" x14ac:dyDescent="0.2">
      <c r="A34" s="148" t="s">
        <v>258</v>
      </c>
      <c r="B34" s="483"/>
      <c r="C34" s="484"/>
      <c r="D34" s="484"/>
      <c r="E34" s="484"/>
      <c r="F34" s="519"/>
      <c r="G34" s="485"/>
      <c r="H34" s="521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459"/>
      <c r="Z34" s="459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485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433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486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434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486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435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486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435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486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487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488"/>
      <c r="D44" s="489"/>
      <c r="E44" s="772"/>
      <c r="F44" s="773"/>
      <c r="G44" s="490"/>
      <c r="H44" s="538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491">
        <f>[1]Tab!E8</f>
        <v>0</v>
      </c>
      <c r="R44" s="492">
        <f>[1]Tab!F8</f>
        <v>1250</v>
      </c>
      <c r="S44" s="493">
        <f>[1]Tab!G8</f>
        <v>0.23</v>
      </c>
      <c r="T44" s="494">
        <f>ROUND(R44*S44,2)</f>
        <v>287.5</v>
      </c>
      <c r="U44" s="494">
        <f ca="1">ROUND(IF(AND($H$38&lt;=R44,$H$38&gt;0),$H$38*S44,0),2)</f>
        <v>0</v>
      </c>
      <c r="V44" s="12"/>
      <c r="W44" s="9"/>
      <c r="X44" s="9"/>
      <c r="Y44" s="9"/>
      <c r="Z44" s="9"/>
    </row>
    <row r="45" spans="1:26" s="459" customFormat="1" ht="12" customHeight="1" x14ac:dyDescent="0.2">
      <c r="A45" s="161" t="s">
        <v>115</v>
      </c>
      <c r="B45" s="22"/>
      <c r="C45" s="163" t="s">
        <v>254</v>
      </c>
      <c r="D45" s="495">
        <v>11</v>
      </c>
      <c r="E45" s="743"/>
      <c r="F45" s="744"/>
      <c r="G45" s="496"/>
      <c r="H45" s="439">
        <f>IF(I29=0,0,VLOOKUP($P$3,'[1]Mit-2'!$A$65:$P$79,13,FALSE))</f>
        <v>0</v>
      </c>
      <c r="I45" s="226">
        <f>IF($I$9="",ROUND(IF($I$29=0,0,-H45/D45),2),-Steuern!J54)</f>
        <v>0</v>
      </c>
      <c r="J45" s="410">
        <v>27</v>
      </c>
      <c r="K45" s="542"/>
      <c r="L45" s="543"/>
      <c r="M45" s="543"/>
      <c r="N45" s="543"/>
      <c r="O45" s="544"/>
      <c r="P45" s="9"/>
      <c r="Q45" s="491">
        <f>[1]Tab!E9</f>
        <v>1250.01</v>
      </c>
      <c r="R45" s="492">
        <f>[1]Tab!F9</f>
        <v>2333.33</v>
      </c>
      <c r="S45" s="493">
        <f>[1]Tab!G9</f>
        <v>0.25</v>
      </c>
      <c r="T45" s="494">
        <f>ROUND((R45-Q45)*S45+T44,2)</f>
        <v>558.33000000000004</v>
      </c>
      <c r="U45" s="494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497"/>
      <c r="C46" s="18"/>
      <c r="D46" s="16"/>
      <c r="E46" s="717"/>
      <c r="F46" s="718"/>
      <c r="G46" s="164"/>
      <c r="H46" s="167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491">
        <f>[1]Tab!E10</f>
        <v>2333.34</v>
      </c>
      <c r="R46" s="492">
        <f>[1]Tab!F10</f>
        <v>4166.67</v>
      </c>
      <c r="S46" s="493">
        <f>[1]Tab!G10</f>
        <v>0.35</v>
      </c>
      <c r="T46" s="494">
        <f>ROUND((R46-Q46)*S46+T45,2)</f>
        <v>1200</v>
      </c>
      <c r="U46" s="494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488"/>
      <c r="D47" s="489"/>
      <c r="E47" s="743"/>
      <c r="F47" s="744"/>
      <c r="G47" s="490"/>
      <c r="H47" s="538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459"/>
      <c r="Q47" s="491">
        <f>[1]Tab!E11</f>
        <v>4166.68</v>
      </c>
      <c r="R47" s="492">
        <f>[1]Tab!F11</f>
        <v>0</v>
      </c>
      <c r="S47" s="493">
        <f>[1]Tab!G11</f>
        <v>0.43</v>
      </c>
      <c r="T47" s="494"/>
      <c r="U47" s="494">
        <f ca="1">ROUND(IF(AND($H$38&lt;=R47,$H$38&gt;=Q47),T46+($H$38-R46)*S47,0),2)</f>
        <v>0</v>
      </c>
      <c r="V47" s="454"/>
      <c r="W47" s="459"/>
      <c r="X47" s="459"/>
      <c r="Y47" s="459"/>
      <c r="Z47" s="459"/>
    </row>
    <row r="48" spans="1:26" ht="12" customHeight="1" x14ac:dyDescent="0.2">
      <c r="A48" s="322" t="s">
        <v>115</v>
      </c>
      <c r="B48" s="323"/>
      <c r="C48" s="324" t="s">
        <v>255</v>
      </c>
      <c r="D48" s="498">
        <v>11</v>
      </c>
      <c r="E48" s="770"/>
      <c r="F48" s="771"/>
      <c r="G48" s="499"/>
      <c r="H48" s="451">
        <f>IF(I29=0,0,VLOOKUP($P$3,'[1]Mit-2'!$A$65:$AD$79,27,FALSE))</f>
        <v>0</v>
      </c>
      <c r="I48" s="226">
        <f>IF($I$9="",ROUND(IF($I$29=0,0,-H48/D48),2),-Steuern!N54)</f>
        <v>0</v>
      </c>
      <c r="J48" s="411">
        <v>30</v>
      </c>
      <c r="K48" s="542"/>
      <c r="L48" s="543"/>
      <c r="M48" s="543"/>
      <c r="N48" s="543"/>
      <c r="O48" s="544"/>
      <c r="P48" s="459"/>
      <c r="Q48" s="491">
        <f>[1]Tab!E12</f>
        <v>0</v>
      </c>
      <c r="R48" s="492"/>
      <c r="S48" s="493">
        <f>[1]Tab!G12</f>
        <v>0</v>
      </c>
      <c r="T48" s="500"/>
      <c r="U48" s="494">
        <f ca="1">ROUND(IF($H$38&gt;R47,T47+($H$38-R47)*S48,0),2)</f>
        <v>0</v>
      </c>
      <c r="V48" s="454"/>
      <c r="W48" s="459"/>
      <c r="X48" s="459"/>
      <c r="Y48" s="459"/>
      <c r="Z48" s="459"/>
    </row>
    <row r="49" spans="1:26" ht="12" customHeight="1" x14ac:dyDescent="0.2">
      <c r="A49" s="161" t="s">
        <v>147</v>
      </c>
      <c r="B49" s="329">
        <v>0.3</v>
      </c>
      <c r="C49" s="330">
        <f>H48</f>
        <v>0</v>
      </c>
      <c r="D49" s="331">
        <f>ROUND(C49*B49,2)</f>
        <v>0</v>
      </c>
      <c r="E49" s="741"/>
      <c r="F49" s="742"/>
      <c r="G49" s="332" t="s">
        <v>249</v>
      </c>
      <c r="H49" s="333">
        <v>9</v>
      </c>
      <c r="I49" s="518">
        <f>IF($I$9="",ROUND(IF($I$29=0,0,-D49/H49),2),-Steuern!R55)</f>
        <v>0</v>
      </c>
      <c r="J49" s="416">
        <v>31</v>
      </c>
      <c r="K49" s="542"/>
      <c r="L49" s="543"/>
      <c r="M49" s="543"/>
      <c r="N49" s="543"/>
      <c r="O49" s="544"/>
      <c r="P49" s="459"/>
      <c r="Q49" s="491">
        <f>[1]Tab!E13</f>
        <v>0</v>
      </c>
      <c r="R49" s="492"/>
      <c r="S49" s="493">
        <f>[1]Tab!G13</f>
        <v>0</v>
      </c>
      <c r="T49" s="500"/>
      <c r="U49" s="494">
        <f ca="1">ROUND(IF($H$38&gt;R48,T48+($H$38-R48)*S49,0),2)</f>
        <v>0</v>
      </c>
      <c r="V49" s="454"/>
      <c r="W49" s="459"/>
      <c r="X49" s="459"/>
      <c r="Y49" s="459"/>
      <c r="Z49" s="459"/>
    </row>
    <row r="50" spans="1:26" ht="12" customHeight="1" x14ac:dyDescent="0.2">
      <c r="A50" s="160" t="s">
        <v>139</v>
      </c>
      <c r="B50" s="50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502" t="s">
        <v>8</v>
      </c>
      <c r="R50" s="503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504"/>
      <c r="C51" s="438">
        <f>IF(I29=0,0,Steuern!J86)</f>
        <v>0</v>
      </c>
      <c r="D51" s="438">
        <f>IF(I29=0,0,Steuern!L86)</f>
        <v>0</v>
      </c>
      <c r="E51" s="743">
        <f>IF(I29=0,0,Steuern!N86)</f>
        <v>0</v>
      </c>
      <c r="F51" s="744"/>
      <c r="G51" s="438">
        <f>IF(I29=0,0,Steuern!P86)</f>
        <v>0</v>
      </c>
      <c r="H51" s="505">
        <f>IF(I29=0,0,Steuern!R86)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506"/>
      <c r="C52" s="507">
        <f>IF($I$9="",0,Steuern!J89)</f>
        <v>0</v>
      </c>
      <c r="D52" s="507">
        <f>U60</f>
        <v>0</v>
      </c>
      <c r="E52" s="763">
        <f>IF($I$9="",0,Ausgleich!F60)</f>
        <v>0</v>
      </c>
      <c r="F52" s="764"/>
      <c r="G52" s="508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509"/>
      <c r="C53" s="509"/>
      <c r="D53" s="509"/>
      <c r="E53" s="509"/>
      <c r="F53" s="509"/>
      <c r="G53" s="509"/>
      <c r="H53" s="509"/>
      <c r="I53" s="234">
        <f ca="1">SUM(I29:I52)</f>
        <v>0</v>
      </c>
      <c r="J53" s="522"/>
      <c r="K53" s="523"/>
      <c r="L53" s="523"/>
      <c r="M53" s="523"/>
      <c r="N53" s="523"/>
      <c r="O53" s="524"/>
      <c r="P53" s="34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510"/>
      <c r="W53" s="34"/>
      <c r="X53" s="34"/>
      <c r="Y53" s="34"/>
      <c r="Z53" s="34"/>
    </row>
    <row r="54" spans="1:26" ht="12" customHeight="1" x14ac:dyDescent="0.2">
      <c r="A54" s="170" t="s">
        <v>120</v>
      </c>
      <c r="B54" s="173" t="s">
        <v>124</v>
      </c>
      <c r="C54" s="511">
        <f>IF($I$9="",0,VLOOKUP($P$3,'[1]Mit-1'!$A$5:$AD$19,22,FALSE))</f>
        <v>0</v>
      </c>
      <c r="D54" s="139" t="s">
        <v>38</v>
      </c>
      <c r="E54" s="760">
        <f>ROUND(IF($I$9="",0,Steuern!$D$89/13.5),2)</f>
        <v>0</v>
      </c>
      <c r="F54" s="761"/>
      <c r="G54" s="139" t="s">
        <v>40</v>
      </c>
      <c r="H54" s="512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459"/>
      <c r="W54" s="459"/>
      <c r="X54" s="459"/>
    </row>
    <row r="55" spans="1:26" ht="15" customHeight="1" x14ac:dyDescent="0.2">
      <c r="A55" s="172" t="s">
        <v>121</v>
      </c>
      <c r="B55" s="175" t="s">
        <v>37</v>
      </c>
      <c r="C55" s="536"/>
      <c r="D55" s="174" t="s">
        <v>39</v>
      </c>
      <c r="E55" s="766"/>
      <c r="F55" s="767"/>
      <c r="G55" s="174" t="s">
        <v>35</v>
      </c>
      <c r="H55" s="538"/>
      <c r="I55" s="527">
        <f>-(E55-H55)</f>
        <v>0</v>
      </c>
      <c r="J55" s="532"/>
      <c r="K55" s="531"/>
      <c r="L55" s="531"/>
      <c r="M55" s="531"/>
      <c r="N55" s="709"/>
      <c r="O55" s="710"/>
      <c r="Q55" s="491">
        <f>[1]Tab!A8</f>
        <v>0</v>
      </c>
      <c r="R55" s="492">
        <f>[1]Tab!D8</f>
        <v>15000</v>
      </c>
      <c r="S55" s="493">
        <f>S44</f>
        <v>0.23</v>
      </c>
      <c r="T55" s="494">
        <f>ROUND(R55*S55,2)</f>
        <v>3450</v>
      </c>
      <c r="U55" s="494">
        <f>ROUND(IF(AND($C$52&lt;=R55,C52&gt;0),$C$52*S55,0),2)</f>
        <v>0</v>
      </c>
      <c r="V55" s="459"/>
      <c r="W55" s="459"/>
      <c r="X55" s="459"/>
    </row>
    <row r="56" spans="1:26" ht="16.899999999999999" customHeight="1" x14ac:dyDescent="0.2">
      <c r="A56" s="596" t="s">
        <v>122</v>
      </c>
      <c r="B56" s="177" t="s">
        <v>125</v>
      </c>
      <c r="C56" s="598">
        <f>ROUND(C54*'[1]Mit-2'!$M$84%,2)</f>
        <v>0</v>
      </c>
      <c r="D56" s="176" t="s">
        <v>262</v>
      </c>
      <c r="E56" s="763">
        <f>ROUND(C56*[1]Tab!$G$142,2)</f>
        <v>0</v>
      </c>
      <c r="F56" s="764"/>
      <c r="G56" s="589"/>
      <c r="H56" s="599"/>
      <c r="I56" s="224">
        <f>C56-E56</f>
        <v>0</v>
      </c>
      <c r="J56" s="532"/>
      <c r="K56" s="531"/>
      <c r="L56" s="531"/>
      <c r="M56" s="531"/>
      <c r="N56" s="709"/>
      <c r="O56" s="710"/>
      <c r="Q56" s="491">
        <f>[1]Tab!A9</f>
        <v>15000.01</v>
      </c>
      <c r="R56" s="492">
        <f>[1]Tab!D9</f>
        <v>28000</v>
      </c>
      <c r="S56" s="493">
        <f>S45</f>
        <v>0.25</v>
      </c>
      <c r="T56" s="494">
        <f>ROUND((R56-Q56)*S56+T55,2)</f>
        <v>6700</v>
      </c>
      <c r="U56" s="494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93"/>
      <c r="C57" s="593"/>
      <c r="D57" s="594"/>
      <c r="E57" s="765"/>
      <c r="F57" s="765"/>
      <c r="G57" s="594"/>
      <c r="H57" s="59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34"/>
      <c r="Q57" s="491">
        <f>[1]Tab!A10</f>
        <v>28000.01</v>
      </c>
      <c r="R57" s="492">
        <f>[1]Tab!D10</f>
        <v>50000</v>
      </c>
      <c r="S57" s="493">
        <f>S46</f>
        <v>0.35</v>
      </c>
      <c r="T57" s="494">
        <f>ROUND((R57-Q57)*S57+T56,2)</f>
        <v>14400</v>
      </c>
      <c r="U57" s="494">
        <f>ROUND(IF(AND($C$52&lt;=R57,$C$52&gt;=Q57),T56+($C$52-R56)*S57,0),2)</f>
        <v>0</v>
      </c>
      <c r="V57" s="34"/>
      <c r="W57" s="34"/>
      <c r="X57" s="34"/>
      <c r="Y57" s="34"/>
      <c r="Z57" s="34"/>
    </row>
    <row r="58" spans="1:26" ht="12.75" customHeight="1" x14ac:dyDescent="0.2">
      <c r="A58" s="600"/>
      <c r="B58" s="605"/>
      <c r="C58" s="605"/>
      <c r="D58" s="606"/>
      <c r="E58" s="762"/>
      <c r="F58" s="762"/>
      <c r="G58" s="606"/>
      <c r="H58" s="607"/>
      <c r="I58" s="604"/>
      <c r="J58" s="532"/>
      <c r="K58" s="531"/>
      <c r="L58" s="531"/>
      <c r="M58" s="531"/>
      <c r="N58" s="709"/>
      <c r="O58" s="710"/>
      <c r="P58" s="34"/>
      <c r="Q58" s="491">
        <f>[1]Tab!A11</f>
        <v>50000.01</v>
      </c>
      <c r="R58" s="492">
        <f>[1]Tab!D11</f>
        <v>0</v>
      </c>
      <c r="S58" s="493">
        <f>S47</f>
        <v>0.43</v>
      </c>
      <c r="T58" s="494"/>
      <c r="U58" s="494">
        <f>ROUND(IF(AND($C$52&lt;=R58,$C$52&gt;=Q58),T57+($C$52-R57)*S58,0),2)</f>
        <v>0</v>
      </c>
      <c r="V58" s="34"/>
      <c r="W58" s="34"/>
      <c r="X58" s="34"/>
      <c r="Y58" s="34"/>
      <c r="Z58" s="34"/>
    </row>
    <row r="59" spans="1:26" ht="12" customHeight="1" x14ac:dyDescent="0.2">
      <c r="A59" s="154" t="s">
        <v>123</v>
      </c>
      <c r="B59" s="488"/>
      <c r="C59" s="513"/>
      <c r="D59" s="175" t="s">
        <v>41</v>
      </c>
      <c r="E59" s="758">
        <f>-'09'!H59</f>
        <v>0</v>
      </c>
      <c r="F59" s="759"/>
      <c r="G59" s="175" t="s">
        <v>42</v>
      </c>
      <c r="H59" s="440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34"/>
      <c r="Q59" s="491">
        <f>[1]Tab!A12</f>
        <v>0</v>
      </c>
      <c r="R59" s="492"/>
      <c r="S59" s="493">
        <f>S48</f>
        <v>0</v>
      </c>
      <c r="T59" s="500"/>
      <c r="U59" s="494">
        <f>ROUND(IF($C$52&gt;R58,T58+($C$52-R58)*S59,0),2)</f>
        <v>0</v>
      </c>
      <c r="V59" s="34"/>
      <c r="W59" s="34"/>
      <c r="X59" s="34"/>
      <c r="Y59" s="34"/>
      <c r="Z59" s="34"/>
    </row>
    <row r="60" spans="1:26" ht="12" customHeight="1" x14ac:dyDescent="0.2">
      <c r="A60" s="427" t="s">
        <v>43</v>
      </c>
      <c r="B60" s="514"/>
      <c r="C60" s="514"/>
      <c r="D60" s="514"/>
      <c r="E60" s="514"/>
      <c r="F60" s="514"/>
      <c r="G60" s="514"/>
      <c r="H60" s="514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502" t="s">
        <v>8</v>
      </c>
      <c r="R60" s="503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459"/>
      <c r="B61" s="459"/>
      <c r="C61" s="459"/>
      <c r="D61" s="459"/>
      <c r="E61" s="459"/>
      <c r="F61" s="459"/>
      <c r="G61" s="459"/>
      <c r="H61" s="459"/>
      <c r="I61" s="459"/>
      <c r="K61" s="516"/>
      <c r="L61" s="516"/>
      <c r="M61" s="516"/>
      <c r="Q61" s="515">
        <f ca="1">SUM(I53:I58,E59)</f>
        <v>0</v>
      </c>
    </row>
    <row r="62" spans="1:26" x14ac:dyDescent="0.2">
      <c r="Q62" s="515"/>
    </row>
    <row r="63" spans="1:26" ht="15.75" customHeight="1" x14ac:dyDescent="0.2">
      <c r="Q63" s="515"/>
    </row>
    <row r="64" spans="1:26" x14ac:dyDescent="0.2">
      <c r="A64" s="108" t="str">
        <f>'[1]Beschr-Descr.'!A1</f>
        <v xml:space="preserve">Beschreibung Lohnelemente  </v>
      </c>
      <c r="B64" s="486"/>
      <c r="C64" s="486"/>
      <c r="D64" s="486"/>
      <c r="E64" s="486"/>
      <c r="F64" s="486"/>
      <c r="G64" s="486"/>
      <c r="Q64" s="515"/>
    </row>
    <row r="65" spans="1:7" x14ac:dyDescent="0.2">
      <c r="A65" s="108" t="str">
        <f>'[1]Beschr-Descr.'!A2</f>
        <v>Descrizione elementi di retribuzione</v>
      </c>
      <c r="B65" s="486"/>
      <c r="C65" s="486"/>
      <c r="D65" s="486"/>
      <c r="E65" s="486"/>
      <c r="F65" s="108" t="s">
        <v>3</v>
      </c>
      <c r="G65" s="486"/>
    </row>
    <row r="66" spans="1:7" x14ac:dyDescent="0.2">
      <c r="A66" s="486">
        <f>'[1]Beschr-Descr.'!A3</f>
        <v>0</v>
      </c>
      <c r="B66" s="486">
        <f>'[1]Beschr-Descr.'!B3</f>
        <v>0</v>
      </c>
      <c r="C66" s="486">
        <f>'[1]Beschr-Descr.'!C3</f>
        <v>0</v>
      </c>
      <c r="D66" s="486">
        <f>'[1]Beschr-Descr.'!D3</f>
        <v>0</v>
      </c>
      <c r="E66" s="486">
        <f>'[1]Beschr-Descr.'!E3</f>
        <v>0</v>
      </c>
      <c r="F66" s="486"/>
      <c r="G66" s="486"/>
    </row>
    <row r="67" spans="1:7" x14ac:dyDescent="0.2">
      <c r="A67" s="486" t="str">
        <f>'[1]Beschr-Descr.'!A4</f>
        <v>Normalentlohnung</v>
      </c>
      <c r="B67" s="517"/>
      <c r="C67" s="517">
        <f>'[1]Beschr-Descr.'!C4</f>
        <v>0</v>
      </c>
      <c r="D67" s="517">
        <f>'[1]Beschr-Descr.'!D4</f>
        <v>0</v>
      </c>
      <c r="E67" s="296">
        <f>'[1]Beschr-Descr.'!E4</f>
        <v>0</v>
      </c>
      <c r="F67" s="486" t="s">
        <v>44</v>
      </c>
      <c r="G67" s="486"/>
    </row>
    <row r="68" spans="1:7" x14ac:dyDescent="0.2">
      <c r="A68" s="486" t="str">
        <f>'[1]Beschr-Descr.'!A5</f>
        <v>Genossener Urlaub</v>
      </c>
      <c r="B68" s="517"/>
      <c r="C68" s="517">
        <f>'[1]Beschr-Descr.'!C5</f>
        <v>0</v>
      </c>
      <c r="D68" s="517">
        <f>'[1]Beschr-Descr.'!D5</f>
        <v>0</v>
      </c>
      <c r="E68" s="296">
        <f>'[1]Beschr-Descr.'!E5</f>
        <v>0</v>
      </c>
      <c r="F68" s="486" t="s">
        <v>45</v>
      </c>
      <c r="G68" s="486"/>
    </row>
    <row r="69" spans="1:7" x14ac:dyDescent="0.2">
      <c r="A69" s="486" t="str">
        <f>'[1]Beschr-Descr.'!A6</f>
        <v>Genossene Freistellungen</v>
      </c>
      <c r="B69" s="517"/>
      <c r="C69" s="517">
        <f>'[1]Beschr-Descr.'!C6</f>
        <v>0</v>
      </c>
      <c r="D69" s="517">
        <f>'[1]Beschr-Descr.'!D6</f>
        <v>0</v>
      </c>
      <c r="E69" s="296">
        <f>'[1]Beschr-Descr.'!E6</f>
        <v>0</v>
      </c>
      <c r="F69" s="486" t="s">
        <v>46</v>
      </c>
      <c r="G69" s="486"/>
    </row>
    <row r="70" spans="1:7" x14ac:dyDescent="0.2">
      <c r="A70" s="486" t="str">
        <f>'[1]Beschr-Descr.'!A7</f>
        <v>Nicht genossener Urlaub</v>
      </c>
      <c r="B70" s="517"/>
      <c r="C70" s="517">
        <f>'[1]Beschr-Descr.'!C7</f>
        <v>0</v>
      </c>
      <c r="D70" s="517">
        <f>'[1]Beschr-Descr.'!D7</f>
        <v>0</v>
      </c>
      <c r="E70" s="296">
        <f>'[1]Beschr-Descr.'!E7</f>
        <v>0</v>
      </c>
      <c r="F70" s="486"/>
      <c r="G70" s="486"/>
    </row>
    <row r="71" spans="1:7" x14ac:dyDescent="0.2">
      <c r="A71" s="486" t="str">
        <f>'[1]Beschr-Descr.'!A8</f>
        <v>Nicht genossene Freistellungen</v>
      </c>
      <c r="B71" s="517"/>
      <c r="C71" s="517">
        <f>'[1]Beschr-Descr.'!C8</f>
        <v>0</v>
      </c>
      <c r="D71" s="517">
        <f>'[1]Beschr-Descr.'!D8</f>
        <v>0</v>
      </c>
      <c r="E71" s="296">
        <f>'[1]Beschr-Descr.'!E8</f>
        <v>0</v>
      </c>
      <c r="F71" s="486"/>
      <c r="G71" s="486"/>
    </row>
    <row r="72" spans="1:7" x14ac:dyDescent="0.2">
      <c r="A72" s="486" t="str">
        <f>'[1]Beschr-Descr.'!A9</f>
        <v>Nicht genossene Feiertage</v>
      </c>
      <c r="B72" s="517"/>
      <c r="C72" s="517">
        <f>'[1]Beschr-Descr.'!C9</f>
        <v>0</v>
      </c>
      <c r="D72" s="517">
        <f>'[1]Beschr-Descr.'!D9</f>
        <v>0</v>
      </c>
      <c r="E72" s="296">
        <f>'[1]Beschr-Descr.'!E9</f>
        <v>0</v>
      </c>
      <c r="F72" s="486"/>
      <c r="G72" s="486"/>
    </row>
    <row r="73" spans="1:7" x14ac:dyDescent="0.2">
      <c r="A73" s="486" t="str">
        <f>'[1]Beschr-Descr.'!A10</f>
        <v>Zulage für Kassarisiko</v>
      </c>
      <c r="B73" s="517"/>
      <c r="C73" s="517">
        <f>'[1]Beschr-Descr.'!C10</f>
        <v>0</v>
      </c>
      <c r="D73" s="517">
        <f>'[1]Beschr-Descr.'!D10</f>
        <v>0</v>
      </c>
      <c r="E73" s="296">
        <f>'[1]Beschr-Descr.'!E10</f>
        <v>0</v>
      </c>
      <c r="F73" s="486"/>
      <c r="G73" s="486"/>
    </row>
    <row r="74" spans="1:7" x14ac:dyDescent="0.2">
      <c r="A74" s="486">
        <f>'[1]Beschr-Descr.'!A11</f>
        <v>0</v>
      </c>
      <c r="B74" s="517"/>
      <c r="C74" s="517">
        <f>'[1]Beschr-Descr.'!C11</f>
        <v>0</v>
      </c>
      <c r="D74" s="517">
        <f>'[1]Beschr-Descr.'!D11</f>
        <v>0</v>
      </c>
      <c r="E74" s="296">
        <f>'[1]Beschr-Descr.'!E11</f>
        <v>0</v>
      </c>
      <c r="F74" s="486"/>
      <c r="G74" s="486"/>
    </row>
    <row r="75" spans="1:7" x14ac:dyDescent="0.2">
      <c r="A75" s="486" t="str">
        <f>'[1]Beschr-Descr.'!A12</f>
        <v xml:space="preserve">Überstunden 15%  </v>
      </c>
      <c r="B75" s="517"/>
      <c r="C75" s="517">
        <f>'[1]Beschr-Descr.'!C12</f>
        <v>0</v>
      </c>
      <c r="D75" s="517">
        <f>'[1]Beschr-Descr.'!D12</f>
        <v>0</v>
      </c>
      <c r="E75" s="296">
        <f>'[1]Beschr-Descr.'!E12</f>
        <v>0.15</v>
      </c>
      <c r="F75" s="486"/>
      <c r="G75" s="486"/>
    </row>
    <row r="76" spans="1:7" x14ac:dyDescent="0.2">
      <c r="A76" s="486" t="str">
        <f>'[1]Beschr-Descr.'!A13</f>
        <v xml:space="preserve">Überstunden 20%  </v>
      </c>
      <c r="B76" s="517"/>
      <c r="C76" s="517">
        <f>'[1]Beschr-Descr.'!C13</f>
        <v>0</v>
      </c>
      <c r="D76" s="517">
        <f>'[1]Beschr-Descr.'!D13</f>
        <v>0</v>
      </c>
      <c r="E76" s="296">
        <f>'[1]Beschr-Descr.'!E13</f>
        <v>0.2</v>
      </c>
      <c r="F76" s="486"/>
      <c r="G76" s="486"/>
    </row>
    <row r="77" spans="1:7" x14ac:dyDescent="0.2">
      <c r="A77" s="486" t="str">
        <f>'[1]Beschr-Descr.'!A14</f>
        <v xml:space="preserve">Überstunden 30%  </v>
      </c>
      <c r="B77" s="517"/>
      <c r="C77" s="517">
        <f>'[1]Beschr-Descr.'!C14</f>
        <v>0</v>
      </c>
      <c r="D77" s="517">
        <f>'[1]Beschr-Descr.'!D14</f>
        <v>0</v>
      </c>
      <c r="E77" s="296">
        <f>'[1]Beschr-Descr.'!E14</f>
        <v>0.3</v>
      </c>
      <c r="F77" s="486"/>
      <c r="G77" s="486"/>
    </row>
    <row r="78" spans="1:7" x14ac:dyDescent="0.2">
      <c r="A78" s="486" t="str">
        <f>'[1]Beschr-Descr.'!A15</f>
        <v xml:space="preserve">Überstunden 50%  </v>
      </c>
      <c r="B78" s="517"/>
      <c r="C78" s="517">
        <f>'[1]Beschr-Descr.'!C15</f>
        <v>0</v>
      </c>
      <c r="D78" s="517">
        <f>'[1]Beschr-Descr.'!D15</f>
        <v>0</v>
      </c>
      <c r="E78" s="296">
        <f>'[1]Beschr-Descr.'!E15</f>
        <v>0.5</v>
      </c>
      <c r="F78" s="486"/>
      <c r="G78" s="486"/>
    </row>
    <row r="79" spans="1:7" x14ac:dyDescent="0.2">
      <c r="A79" s="486" t="str">
        <f>'[1]Beschr-Descr.'!A16</f>
        <v>Nachtstunden 50%</v>
      </c>
      <c r="B79" s="517"/>
      <c r="C79" s="517">
        <f>'[1]Beschr-Descr.'!C16</f>
        <v>0</v>
      </c>
      <c r="D79" s="517">
        <f>'[1]Beschr-Descr.'!D16</f>
        <v>0</v>
      </c>
      <c r="E79" s="296">
        <f>'[1]Beschr-Descr.'!E16</f>
        <v>0.5</v>
      </c>
      <c r="F79" s="486"/>
      <c r="G79" s="486"/>
    </row>
    <row r="80" spans="1:7" x14ac:dyDescent="0.2">
      <c r="A80" s="486">
        <f>'[1]Beschr-Descr.'!A17</f>
        <v>0</v>
      </c>
      <c r="B80" s="517"/>
      <c r="C80" s="517">
        <f>'[1]Beschr-Descr.'!C17</f>
        <v>0</v>
      </c>
      <c r="D80" s="517">
        <f>'[1]Beschr-Descr.'!D17</f>
        <v>0</v>
      </c>
      <c r="E80" s="296">
        <f>'[1]Beschr-Descr.'!E17</f>
        <v>0</v>
      </c>
      <c r="F80" s="486"/>
      <c r="G80" s="486"/>
    </row>
    <row r="81" spans="1:7" x14ac:dyDescent="0.2">
      <c r="A81" s="486" t="str">
        <f>'[1]Beschr-Descr.'!A18</f>
        <v>Krankheit gesamt</v>
      </c>
      <c r="B81" s="517"/>
      <c r="C81" s="517">
        <f>'[1]Beschr-Descr.'!C18</f>
        <v>0</v>
      </c>
      <c r="D81" s="517">
        <f>'[1]Beschr-Descr.'!D18</f>
        <v>0</v>
      </c>
      <c r="E81" s="296">
        <f>'[1]Beschr-Descr.'!E18</f>
        <v>0</v>
      </c>
      <c r="F81" s="486"/>
      <c r="G81" s="486"/>
    </row>
    <row r="82" spans="1:7" x14ac:dyDescent="0.2">
      <c r="A82" s="486" t="str">
        <f>'[1]Beschr-Descr.'!A19</f>
        <v xml:space="preserve">Krankheit INPS-Anteil 50,00% </v>
      </c>
      <c r="B82" s="517"/>
      <c r="C82" s="517">
        <f>'[1]Beschr-Descr.'!C19</f>
        <v>0</v>
      </c>
      <c r="D82" s="517">
        <f>'[1]Beschr-Descr.'!D19</f>
        <v>0</v>
      </c>
      <c r="E82" s="296">
        <f>'[1]Beschr-Descr.'!E19</f>
        <v>-0.5</v>
      </c>
      <c r="F82" s="486"/>
      <c r="G82" s="486"/>
    </row>
    <row r="83" spans="1:7" x14ac:dyDescent="0.2">
      <c r="A83" s="486" t="str">
        <f>'[1]Beschr-Descr.'!A20</f>
        <v xml:space="preserve">Krankheit INPS-Anteil 66,67% </v>
      </c>
      <c r="B83" s="517"/>
      <c r="C83" s="517">
        <f>'[1]Beschr-Descr.'!C20</f>
        <v>0</v>
      </c>
      <c r="D83" s="517">
        <f>'[1]Beschr-Descr.'!D20</f>
        <v>0</v>
      </c>
      <c r="E83" s="296">
        <f>'[1]Beschr-Descr.'!E20</f>
        <v>-0.66669999999999996</v>
      </c>
      <c r="F83" s="486"/>
      <c r="G83" s="486"/>
    </row>
    <row r="84" spans="1:7" x14ac:dyDescent="0.2">
      <c r="A84" s="486" t="str">
        <f>'[1]Beschr-Descr.'!A21</f>
        <v>Mutterschaft Gesamtbetrag</v>
      </c>
      <c r="B84" s="517"/>
      <c r="C84" s="517">
        <f>'[1]Beschr-Descr.'!C21</f>
        <v>0</v>
      </c>
      <c r="D84" s="517">
        <f>'[1]Beschr-Descr.'!D21</f>
        <v>0</v>
      </c>
      <c r="E84" s="296">
        <f>'[1]Beschr-Descr.'!E21</f>
        <v>0</v>
      </c>
      <c r="F84" s="486"/>
      <c r="G84" s="486"/>
    </row>
    <row r="85" spans="1:7" x14ac:dyDescent="0.2">
      <c r="A85" s="486" t="str">
        <f>'[1]Beschr-Descr.'!A22</f>
        <v>Mutterschaft INPS-Anteil 80,00%</v>
      </c>
      <c r="B85" s="517"/>
      <c r="C85" s="517">
        <f>'[1]Beschr-Descr.'!C22</f>
        <v>0</v>
      </c>
      <c r="D85" s="517">
        <f>'[1]Beschr-Descr.'!D22</f>
        <v>0</v>
      </c>
      <c r="E85" s="296">
        <f>'[1]Beschr-Descr.'!E22</f>
        <v>-0.8</v>
      </c>
      <c r="F85" s="486"/>
      <c r="G85" s="486"/>
    </row>
    <row r="86" spans="1:7" x14ac:dyDescent="0.2">
      <c r="A86" s="486" t="str">
        <f>'[1]Beschr-Descr.'!A23</f>
        <v>Abzug Bruttoberechnung Krankengeld INPS</v>
      </c>
      <c r="B86" s="517"/>
      <c r="C86" s="517">
        <f>'[1]Beschr-Descr.'!C23</f>
        <v>0</v>
      </c>
      <c r="D86" s="517">
        <f>'[1]Beschr-Descr.'!D23</f>
        <v>0</v>
      </c>
      <c r="E86" s="296">
        <f>'[1]Beschr-Descr.'!E23</f>
        <v>0.10120030833608633</v>
      </c>
      <c r="F86" s="486"/>
      <c r="G86" s="486"/>
    </row>
    <row r="87" spans="1:7" x14ac:dyDescent="0.2">
      <c r="A87" s="486">
        <f>'[1]Beschr-Descr.'!A24</f>
        <v>0</v>
      </c>
      <c r="B87" s="517"/>
      <c r="C87" s="517">
        <f>'[1]Beschr-Descr.'!C24</f>
        <v>0</v>
      </c>
      <c r="D87" s="517">
        <f>'[1]Beschr-Descr.'!D24</f>
        <v>0</v>
      </c>
      <c r="E87" s="296">
        <f>'[1]Beschr-Descr.'!E24</f>
        <v>0</v>
      </c>
      <c r="F87" s="486"/>
      <c r="G87" s="486"/>
    </row>
    <row r="88" spans="1:7" x14ac:dyDescent="0.2">
      <c r="A88" s="486" t="str">
        <f>'[1]Beschr-Descr.'!A25</f>
        <v xml:space="preserve">13. Monatsgehalt  </v>
      </c>
      <c r="B88" s="517"/>
      <c r="C88" s="517">
        <f>'[1]Beschr-Descr.'!C25</f>
        <v>0</v>
      </c>
      <c r="D88" s="517">
        <f>'[1]Beschr-Descr.'!D25</f>
        <v>0</v>
      </c>
      <c r="E88" s="296">
        <f>'[1]Beschr-Descr.'!E25</f>
        <v>0</v>
      </c>
      <c r="F88" s="486"/>
      <c r="G88" s="486"/>
    </row>
    <row r="89" spans="1:7" x14ac:dyDescent="0.2">
      <c r="A89" s="486" t="str">
        <f>'[1]Beschr-Descr.'!A26</f>
        <v xml:space="preserve">14. Monatsgehalt  </v>
      </c>
      <c r="B89" s="517"/>
      <c r="C89" s="517">
        <f>'[1]Beschr-Descr.'!C26</f>
        <v>0</v>
      </c>
      <c r="D89" s="517">
        <f>'[1]Beschr-Descr.'!D26</f>
        <v>0</v>
      </c>
      <c r="E89" s="296">
        <f>'[1]Beschr-Descr.'!E26</f>
        <v>0</v>
      </c>
      <c r="F89" s="486"/>
      <c r="G89" s="486"/>
    </row>
    <row r="90" spans="1:7" x14ac:dyDescent="0.2">
      <c r="A90" s="486" t="str">
        <f>'[1]Beschr-Descr.'!A27</f>
        <v xml:space="preserve">Nichteinhaltung Kündigungsfrist  </v>
      </c>
      <c r="B90" s="517"/>
      <c r="C90" s="517">
        <f>'[1]Beschr-Descr.'!C27</f>
        <v>0</v>
      </c>
      <c r="D90" s="517">
        <f>'[1]Beschr-Descr.'!D27</f>
        <v>0</v>
      </c>
      <c r="E90" s="296">
        <f>'[1]Beschr-Descr.'!E27</f>
        <v>0</v>
      </c>
      <c r="F90" s="486"/>
      <c r="G90" s="486"/>
    </row>
    <row r="91" spans="1:7" x14ac:dyDescent="0.2">
      <c r="A91" s="486" t="str">
        <f>'[1]Beschr-Descr.'!A28</f>
        <v>Una Tantum</v>
      </c>
      <c r="B91" s="517"/>
      <c r="C91" s="517">
        <f>'[1]Beschr-Descr.'!C28</f>
        <v>0</v>
      </c>
      <c r="D91" s="517">
        <f>'[1]Beschr-Descr.'!D28</f>
        <v>0</v>
      </c>
      <c r="E91" s="296">
        <f>'[1]Beschr-Descr.'!E28</f>
        <v>0</v>
      </c>
      <c r="F91" s="486"/>
      <c r="G91" s="486"/>
    </row>
    <row r="92" spans="1:7" x14ac:dyDescent="0.2">
      <c r="A92" s="486" t="str">
        <f>'[1]Beschr-Descr.'!A29</f>
        <v>Prämie</v>
      </c>
      <c r="B92" s="517"/>
      <c r="C92" s="517">
        <f>'[1]Beschr-Descr.'!C29</f>
        <v>0</v>
      </c>
      <c r="D92" s="517">
        <f>'[1]Beschr-Descr.'!D29</f>
        <v>0</v>
      </c>
      <c r="E92" s="296">
        <f>'[1]Beschr-Descr.'!E29</f>
        <v>0</v>
      </c>
      <c r="F92" s="486"/>
      <c r="G92" s="486"/>
    </row>
    <row r="93" spans="1:7" x14ac:dyDescent="0.2">
      <c r="A93" s="486">
        <f>'[1]Beschr-Descr.'!A30</f>
        <v>0</v>
      </c>
      <c r="B93" s="517"/>
      <c r="C93" s="517">
        <f>'[1]Beschr-Descr.'!C30</f>
        <v>0</v>
      </c>
      <c r="D93" s="517">
        <f>'[1]Beschr-Descr.'!D30</f>
        <v>0</v>
      </c>
      <c r="E93" s="296">
        <f>'[1]Beschr-Descr.'!E30</f>
        <v>0</v>
      </c>
      <c r="F93" s="486"/>
      <c r="G93" s="486"/>
    </row>
    <row r="94" spans="1:7" x14ac:dyDescent="0.2">
      <c r="A94" s="486">
        <f>'[1]Beschr-Descr.'!A31</f>
        <v>0</v>
      </c>
      <c r="B94" s="517"/>
      <c r="C94" s="517">
        <f>'[1]Beschr-Descr.'!C31</f>
        <v>0</v>
      </c>
      <c r="D94" s="517">
        <f>'[1]Beschr-Descr.'!D31</f>
        <v>0</v>
      </c>
      <c r="E94" s="296">
        <f>'[1]Beschr-Descr.'!E31</f>
        <v>0</v>
      </c>
      <c r="F94" s="486"/>
      <c r="G94" s="486"/>
    </row>
    <row r="95" spans="1:7" x14ac:dyDescent="0.2">
      <c r="A95" s="486" t="str">
        <f>'[1]Beschr-Descr.'!A32</f>
        <v xml:space="preserve">Retribuzione ordinaria </v>
      </c>
      <c r="B95" s="517"/>
      <c r="C95" s="517">
        <f>'[1]Beschr-Descr.'!C32</f>
        <v>0</v>
      </c>
      <c r="D95" s="517">
        <f>'[1]Beschr-Descr.'!D32</f>
        <v>0</v>
      </c>
      <c r="E95" s="296">
        <f>'[1]Beschr-Descr.'!E32</f>
        <v>0</v>
      </c>
      <c r="F95" s="486"/>
      <c r="G95" s="486"/>
    </row>
    <row r="96" spans="1:7" x14ac:dyDescent="0.2">
      <c r="A96" s="486" t="str">
        <f>'[1]Beschr-Descr.'!A33</f>
        <v>Ferie godute</v>
      </c>
      <c r="B96" s="517"/>
      <c r="C96" s="517">
        <f>'[1]Beschr-Descr.'!C33</f>
        <v>0</v>
      </c>
      <c r="D96" s="517">
        <f>'[1]Beschr-Descr.'!D33</f>
        <v>0</v>
      </c>
      <c r="E96" s="296">
        <f>'[1]Beschr-Descr.'!E33</f>
        <v>0</v>
      </c>
      <c r="F96" s="486"/>
      <c r="G96" s="486"/>
    </row>
    <row r="97" spans="1:7" x14ac:dyDescent="0.2">
      <c r="A97" s="486" t="str">
        <f>'[1]Beschr-Descr.'!A34</f>
        <v>Permessi goduti</v>
      </c>
      <c r="B97" s="517"/>
      <c r="C97" s="517">
        <f>'[1]Beschr-Descr.'!C34</f>
        <v>0</v>
      </c>
      <c r="D97" s="517">
        <f>'[1]Beschr-Descr.'!D34</f>
        <v>0</v>
      </c>
      <c r="E97" s="296">
        <f>'[1]Beschr-Descr.'!E34</f>
        <v>0</v>
      </c>
      <c r="F97" s="486"/>
      <c r="G97" s="486"/>
    </row>
    <row r="98" spans="1:7" x14ac:dyDescent="0.2">
      <c r="A98" s="486" t="str">
        <f>'[1]Beschr-Descr.'!A35</f>
        <v>Ferie non godute</v>
      </c>
      <c r="B98" s="517"/>
      <c r="C98" s="517">
        <f>'[1]Beschr-Descr.'!C35</f>
        <v>0</v>
      </c>
      <c r="D98" s="517">
        <f>'[1]Beschr-Descr.'!D35</f>
        <v>0</v>
      </c>
      <c r="E98" s="296">
        <f>'[1]Beschr-Descr.'!E35</f>
        <v>0</v>
      </c>
      <c r="F98" s="486"/>
      <c r="G98" s="486"/>
    </row>
    <row r="99" spans="1:7" x14ac:dyDescent="0.2">
      <c r="A99" s="486" t="str">
        <f>'[1]Beschr-Descr.'!A36</f>
        <v>Ferie non godute</v>
      </c>
      <c r="B99" s="517"/>
      <c r="C99" s="517">
        <f>'[1]Beschr-Descr.'!C36</f>
        <v>0</v>
      </c>
      <c r="D99" s="517">
        <f>'[1]Beschr-Descr.'!D36</f>
        <v>0</v>
      </c>
      <c r="E99" s="296">
        <f>'[1]Beschr-Descr.'!E36</f>
        <v>0</v>
      </c>
      <c r="F99" s="486"/>
      <c r="G99" s="486"/>
    </row>
    <row r="100" spans="1:7" x14ac:dyDescent="0.2">
      <c r="A100" s="486" t="str">
        <f>'[1]Beschr-Descr.'!A37</f>
        <v>Festività non godute</v>
      </c>
      <c r="B100" s="517"/>
      <c r="C100" s="517">
        <f>'[1]Beschr-Descr.'!C37</f>
        <v>0</v>
      </c>
      <c r="D100" s="517">
        <f>'[1]Beschr-Descr.'!D37</f>
        <v>0</v>
      </c>
      <c r="E100" s="296">
        <f>'[1]Beschr-Descr.'!E37</f>
        <v>0</v>
      </c>
      <c r="F100" s="486"/>
      <c r="G100" s="486"/>
    </row>
    <row r="101" spans="1:7" x14ac:dyDescent="0.2">
      <c r="A101" s="486" t="str">
        <f>'[1]Beschr-Descr.'!A38</f>
        <v>Indennità rischio cassa</v>
      </c>
      <c r="B101" s="517"/>
      <c r="C101" s="517">
        <f>'[1]Beschr-Descr.'!C38</f>
        <v>0</v>
      </c>
      <c r="D101" s="517">
        <f>'[1]Beschr-Descr.'!D38</f>
        <v>0</v>
      </c>
      <c r="E101" s="296">
        <f>'[1]Beschr-Descr.'!E38</f>
        <v>0</v>
      </c>
      <c r="F101" s="486"/>
      <c r="G101" s="486"/>
    </row>
    <row r="102" spans="1:7" x14ac:dyDescent="0.2">
      <c r="A102" s="486">
        <f>'[1]Beschr-Descr.'!A39</f>
        <v>0</v>
      </c>
      <c r="B102" s="517"/>
      <c r="C102" s="517">
        <f>'[1]Beschr-Descr.'!C39</f>
        <v>0</v>
      </c>
      <c r="D102" s="517">
        <f>'[1]Beschr-Descr.'!D39</f>
        <v>0</v>
      </c>
      <c r="E102" s="296">
        <f>'[1]Beschr-Descr.'!E39</f>
        <v>0</v>
      </c>
      <c r="F102" s="486"/>
      <c r="G102" s="486"/>
    </row>
    <row r="103" spans="1:7" x14ac:dyDescent="0.2">
      <c r="A103" s="486" t="str">
        <f>'[1]Beschr-Descr.'!A40</f>
        <v>Ore straordinarie 15%</v>
      </c>
      <c r="B103" s="517"/>
      <c r="C103" s="517">
        <f>'[1]Beschr-Descr.'!C40</f>
        <v>0</v>
      </c>
      <c r="D103" s="517">
        <f>'[1]Beschr-Descr.'!D40</f>
        <v>0</v>
      </c>
      <c r="E103" s="296">
        <f>'[1]Beschr-Descr.'!E40</f>
        <v>0.15</v>
      </c>
      <c r="F103" s="486"/>
      <c r="G103" s="486"/>
    </row>
    <row r="104" spans="1:7" x14ac:dyDescent="0.2">
      <c r="A104" s="486" t="str">
        <f>'[1]Beschr-Descr.'!A41</f>
        <v>Ore straordinarie 20%</v>
      </c>
      <c r="B104" s="517"/>
      <c r="C104" s="517">
        <f>'[1]Beschr-Descr.'!C41</f>
        <v>0</v>
      </c>
      <c r="D104" s="517">
        <f>'[1]Beschr-Descr.'!D41</f>
        <v>0</v>
      </c>
      <c r="E104" s="296">
        <f>'[1]Beschr-Descr.'!E41</f>
        <v>0.2</v>
      </c>
      <c r="F104" s="486"/>
      <c r="G104" s="486"/>
    </row>
    <row r="105" spans="1:7" x14ac:dyDescent="0.2">
      <c r="A105" s="486" t="str">
        <f>'[1]Beschr-Descr.'!A42</f>
        <v>Ore straordinarie 30%</v>
      </c>
      <c r="B105" s="517"/>
      <c r="C105" s="517">
        <f>'[1]Beschr-Descr.'!C42</f>
        <v>0</v>
      </c>
      <c r="D105" s="517">
        <f>'[1]Beschr-Descr.'!D42</f>
        <v>0</v>
      </c>
      <c r="E105" s="296">
        <f>'[1]Beschr-Descr.'!E42</f>
        <v>0.3</v>
      </c>
      <c r="F105" s="486"/>
      <c r="G105" s="486"/>
    </row>
    <row r="106" spans="1:7" x14ac:dyDescent="0.2">
      <c r="A106" s="486" t="str">
        <f>'[1]Beschr-Descr.'!A43</f>
        <v>Ore straordinarie 50%</v>
      </c>
      <c r="B106" s="517"/>
      <c r="C106" s="517">
        <f>'[1]Beschr-Descr.'!C43</f>
        <v>0</v>
      </c>
      <c r="D106" s="517">
        <f>'[1]Beschr-Descr.'!D43</f>
        <v>0</v>
      </c>
      <c r="E106" s="296">
        <f>'[1]Beschr-Descr.'!E43</f>
        <v>0.5</v>
      </c>
      <c r="F106" s="486"/>
      <c r="G106" s="486"/>
    </row>
    <row r="107" spans="1:7" x14ac:dyDescent="0.2">
      <c r="A107" s="486" t="str">
        <f>'[1]Beschr-Descr.'!A44</f>
        <v>Ore notturne 50%</v>
      </c>
      <c r="B107" s="517"/>
      <c r="C107" s="517">
        <f>'[1]Beschr-Descr.'!C44</f>
        <v>0</v>
      </c>
      <c r="D107" s="517">
        <f>'[1]Beschr-Descr.'!D44</f>
        <v>0</v>
      </c>
      <c r="E107" s="296">
        <f>'[1]Beschr-Descr.'!E44</f>
        <v>0.5</v>
      </c>
      <c r="F107" s="486"/>
      <c r="G107" s="486"/>
    </row>
    <row r="108" spans="1:7" x14ac:dyDescent="0.2">
      <c r="A108" s="486">
        <f>'[1]Beschr-Descr.'!A45</f>
        <v>0</v>
      </c>
      <c r="B108" s="517"/>
      <c r="C108" s="517">
        <f>'[1]Beschr-Descr.'!C45</f>
        <v>0</v>
      </c>
      <c r="D108" s="517">
        <f>'[1]Beschr-Descr.'!D45</f>
        <v>0</v>
      </c>
      <c r="E108" s="296">
        <f>'[1]Beschr-Descr.'!E45</f>
        <v>0</v>
      </c>
      <c r="F108" s="486"/>
      <c r="G108" s="486"/>
    </row>
    <row r="109" spans="1:7" x14ac:dyDescent="0.2">
      <c r="A109" s="486" t="str">
        <f>'[1]Beschr-Descr.'!A46</f>
        <v>Indennità di malattia totale</v>
      </c>
      <c r="B109" s="517"/>
      <c r="C109" s="517">
        <f>'[1]Beschr-Descr.'!C46</f>
        <v>0</v>
      </c>
      <c r="D109" s="517">
        <f>'[1]Beschr-Descr.'!D46</f>
        <v>0</v>
      </c>
      <c r="E109" s="296">
        <f>'[1]Beschr-Descr.'!E46</f>
        <v>0</v>
      </c>
      <c r="F109" s="486"/>
      <c r="G109" s="486"/>
    </row>
    <row r="110" spans="1:7" x14ac:dyDescent="0.2">
      <c r="A110" s="486" t="str">
        <f>'[1]Beschr-Descr.'!A47</f>
        <v>Indennità di malattia quota INPS 50%</v>
      </c>
      <c r="B110" s="517"/>
      <c r="C110" s="517">
        <f>'[1]Beschr-Descr.'!C47</f>
        <v>0</v>
      </c>
      <c r="D110" s="517">
        <f>'[1]Beschr-Descr.'!D47</f>
        <v>0</v>
      </c>
      <c r="E110" s="296">
        <f>'[1]Beschr-Descr.'!E47</f>
        <v>-0.5</v>
      </c>
      <c r="F110" s="486"/>
      <c r="G110" s="486"/>
    </row>
    <row r="111" spans="1:7" x14ac:dyDescent="0.2">
      <c r="A111" s="486" t="str">
        <f>'[1]Beschr-Descr.'!A48</f>
        <v>Indennità di malattia quota INPS 66,67%</v>
      </c>
      <c r="B111" s="517"/>
      <c r="C111" s="517">
        <f>'[1]Beschr-Descr.'!C48</f>
        <v>0</v>
      </c>
      <c r="D111" s="517">
        <f>'[1]Beschr-Descr.'!D48</f>
        <v>0</v>
      </c>
      <c r="E111" s="296">
        <f>'[1]Beschr-Descr.'!E48</f>
        <v>-0.66669999999999996</v>
      </c>
      <c r="F111" s="486"/>
      <c r="G111" s="486"/>
    </row>
    <row r="112" spans="1:7" x14ac:dyDescent="0.2">
      <c r="A112" s="486" t="str">
        <f>'[1]Beschr-Descr.'!A49</f>
        <v>Indennità di maternità importo totale</v>
      </c>
      <c r="B112" s="517"/>
      <c r="C112" s="517">
        <f>'[1]Beschr-Descr.'!C49</f>
        <v>0</v>
      </c>
      <c r="D112" s="517">
        <f>'[1]Beschr-Descr.'!D49</f>
        <v>0</v>
      </c>
      <c r="E112" s="296">
        <f>'[1]Beschr-Descr.'!E49</f>
        <v>0</v>
      </c>
      <c r="F112" s="486"/>
      <c r="G112" s="486"/>
    </row>
    <row r="113" spans="1:7" x14ac:dyDescent="0.2">
      <c r="A113" s="486" t="str">
        <f>'[1]Beschr-Descr.'!A50</f>
        <v>Indennità di maternità quota INPS 80,00%</v>
      </c>
      <c r="B113" s="517"/>
      <c r="C113" s="517">
        <f>'[1]Beschr-Descr.'!C50</f>
        <v>0</v>
      </c>
      <c r="D113" s="517">
        <f>'[1]Beschr-Descr.'!D50</f>
        <v>0</v>
      </c>
      <c r="E113" s="296">
        <f>'[1]Beschr-Descr.'!E50</f>
        <v>-0.8</v>
      </c>
      <c r="F113" s="486"/>
      <c r="G113" s="486"/>
    </row>
    <row r="114" spans="1:7" x14ac:dyDescent="0.2">
      <c r="A114" s="486" t="str">
        <f>'[1]Beschr-Descr.'!A51</f>
        <v>Lordizzazione indennità malattia quota INPS</v>
      </c>
      <c r="B114" s="517"/>
      <c r="C114" s="517">
        <f>'[1]Beschr-Descr.'!C51</f>
        <v>0</v>
      </c>
      <c r="D114" s="517">
        <f>'[1]Beschr-Descr.'!D51</f>
        <v>0</v>
      </c>
      <c r="E114" s="296">
        <f>'[1]Beschr-Descr.'!E51</f>
        <v>0.1012</v>
      </c>
      <c r="F114" s="486"/>
      <c r="G114" s="486"/>
    </row>
    <row r="115" spans="1:7" x14ac:dyDescent="0.2">
      <c r="A115" s="486">
        <f>'[1]Beschr-Descr.'!A52</f>
        <v>0</v>
      </c>
      <c r="B115" s="517"/>
      <c r="C115" s="517">
        <f>'[1]Beschr-Descr.'!C52</f>
        <v>0</v>
      </c>
      <c r="D115" s="517">
        <f>'[1]Beschr-Descr.'!D52</f>
        <v>0</v>
      </c>
      <c r="E115" s="296">
        <f>'[1]Beschr-Descr.'!E52</f>
        <v>0</v>
      </c>
      <c r="F115" s="486"/>
      <c r="G115" s="486"/>
    </row>
    <row r="116" spans="1:7" x14ac:dyDescent="0.2">
      <c r="A116" s="486" t="str">
        <f>'[1]Beschr-Descr.'!A53</f>
        <v>13a mensilità</v>
      </c>
      <c r="B116" s="517"/>
      <c r="C116" s="517">
        <f>'[1]Beschr-Descr.'!C53</f>
        <v>0</v>
      </c>
      <c r="D116" s="517">
        <f>'[1]Beschr-Descr.'!D53</f>
        <v>0</v>
      </c>
      <c r="E116" s="296">
        <f>'[1]Beschr-Descr.'!E53</f>
        <v>0</v>
      </c>
      <c r="F116" s="486"/>
      <c r="G116" s="486"/>
    </row>
    <row r="117" spans="1:7" x14ac:dyDescent="0.2">
      <c r="A117" s="486" t="str">
        <f>'[1]Beschr-Descr.'!A54</f>
        <v>14a mensilità</v>
      </c>
      <c r="B117" s="517"/>
      <c r="C117" s="517">
        <f>'[1]Beschr-Descr.'!C54</f>
        <v>0</v>
      </c>
      <c r="D117" s="517">
        <f>'[1]Beschr-Descr.'!D54</f>
        <v>0</v>
      </c>
      <c r="E117" s="296">
        <f>'[1]Beschr-Descr.'!E54</f>
        <v>0</v>
      </c>
      <c r="F117" s="486"/>
      <c r="G117" s="486"/>
    </row>
    <row r="118" spans="1:7" x14ac:dyDescent="0.2">
      <c r="A118" s="486" t="str">
        <f>'[1]Beschr-Descr.'!A55</f>
        <v>Mancato rispetto periodo preavviso licenziamento</v>
      </c>
      <c r="B118" s="517"/>
      <c r="C118" s="517">
        <f>'[1]Beschr-Descr.'!C55</f>
        <v>0</v>
      </c>
      <c r="D118" s="517">
        <f>'[1]Beschr-Descr.'!D55</f>
        <v>0</v>
      </c>
      <c r="E118" s="296">
        <f>'[1]Beschr-Descr.'!E55</f>
        <v>0</v>
      </c>
      <c r="F118" s="486"/>
      <c r="G118" s="486"/>
    </row>
    <row r="119" spans="1:7" x14ac:dyDescent="0.2">
      <c r="A119" s="486" t="str">
        <f>'[1]Beschr-Descr.'!A56</f>
        <v>Una Tantum</v>
      </c>
      <c r="B119" s="517"/>
      <c r="C119" s="517">
        <f>'[1]Beschr-Descr.'!C56</f>
        <v>0</v>
      </c>
      <c r="D119" s="517">
        <f>'[1]Beschr-Descr.'!D56</f>
        <v>0</v>
      </c>
      <c r="E119" s="296">
        <f>'[1]Beschr-Descr.'!E56</f>
        <v>0</v>
      </c>
      <c r="F119" s="486"/>
      <c r="G119" s="486"/>
    </row>
    <row r="120" spans="1:7" x14ac:dyDescent="0.2">
      <c r="A120" s="486" t="str">
        <f>'[1]Beschr-Descr.'!A57</f>
        <v>Premio</v>
      </c>
      <c r="B120" s="517"/>
      <c r="C120" s="517">
        <f>'[1]Beschr-Descr.'!C57</f>
        <v>0</v>
      </c>
      <c r="D120" s="517">
        <f>'[1]Beschr-Descr.'!D57</f>
        <v>0</v>
      </c>
      <c r="E120" s="296">
        <f>'[1]Beschr-Descr.'!E57</f>
        <v>0</v>
      </c>
      <c r="F120" s="486"/>
      <c r="G120" s="486"/>
    </row>
    <row r="121" spans="1:7" x14ac:dyDescent="0.2">
      <c r="A121" s="486">
        <f>'[1]Beschr-Descr.'!A58</f>
        <v>0</v>
      </c>
      <c r="B121" s="517"/>
      <c r="C121" s="517">
        <f>'[1]Beschr-Descr.'!C58</f>
        <v>0</v>
      </c>
      <c r="D121" s="517">
        <f>'[1]Beschr-Descr.'!D58</f>
        <v>0</v>
      </c>
      <c r="E121" s="296">
        <f>'[1]Beschr-Descr.'!E58</f>
        <v>0</v>
      </c>
      <c r="F121" s="486"/>
      <c r="G121" s="486"/>
    </row>
    <row r="122" spans="1:7" x14ac:dyDescent="0.2">
      <c r="A122" s="486">
        <f>'[1]Beschr-Descr.'!A63</f>
        <v>0</v>
      </c>
      <c r="B122" s="486"/>
      <c r="C122" s="486"/>
      <c r="D122" s="486"/>
      <c r="E122" s="486"/>
      <c r="F122" s="486"/>
      <c r="G122" s="486"/>
    </row>
    <row r="123" spans="1:7" x14ac:dyDescent="0.2">
      <c r="A123" s="486">
        <f>'[1]Beschr-Descr.'!A64</f>
        <v>0</v>
      </c>
      <c r="B123" s="486"/>
      <c r="C123" s="486"/>
      <c r="D123" s="486"/>
      <c r="E123" s="486"/>
      <c r="F123" s="486"/>
      <c r="G123" s="486"/>
    </row>
    <row r="124" spans="1:7" x14ac:dyDescent="0.2">
      <c r="A124" s="486">
        <f>'[1]Beschr-Descr.'!A65</f>
        <v>0</v>
      </c>
      <c r="B124" s="486"/>
      <c r="C124" s="486"/>
      <c r="D124" s="486"/>
      <c r="E124" s="486"/>
      <c r="F124" s="486"/>
      <c r="G124" s="486"/>
    </row>
    <row r="125" spans="1:7" x14ac:dyDescent="0.2">
      <c r="A125" s="486">
        <f>'[1]Beschr-Descr.'!A66</f>
        <v>0</v>
      </c>
      <c r="B125" s="486"/>
      <c r="C125" s="486"/>
      <c r="D125" s="486"/>
      <c r="E125" s="486"/>
      <c r="F125" s="486"/>
      <c r="G125" s="486"/>
    </row>
    <row r="126" spans="1:7" x14ac:dyDescent="0.2">
      <c r="A126" s="486">
        <f>'[1]Beschr-Descr.'!A67</f>
        <v>0</v>
      </c>
      <c r="B126" s="486"/>
      <c r="C126" s="486"/>
      <c r="D126" s="486"/>
      <c r="E126" s="486"/>
      <c r="F126" s="486"/>
      <c r="G126" s="486"/>
    </row>
    <row r="127" spans="1:7" x14ac:dyDescent="0.2">
      <c r="A127" s="486">
        <f>'[1]Beschr-Descr.'!A68</f>
        <v>0</v>
      </c>
      <c r="B127" s="486"/>
      <c r="C127" s="486"/>
      <c r="D127" s="486"/>
      <c r="E127" s="486"/>
      <c r="F127" s="486"/>
      <c r="G127" s="486"/>
    </row>
    <row r="128" spans="1:7" x14ac:dyDescent="0.2">
      <c r="A128" s="486">
        <f>'[1]Beschr-Descr.'!A69</f>
        <v>0</v>
      </c>
      <c r="B128" s="486"/>
      <c r="C128" s="486"/>
      <c r="D128" s="486"/>
      <c r="E128" s="486"/>
      <c r="F128" s="486"/>
      <c r="G128" s="486"/>
    </row>
    <row r="129" spans="1:7" x14ac:dyDescent="0.2">
      <c r="A129" s="486">
        <f>'[1]Beschr-Descr.'!A70</f>
        <v>0</v>
      </c>
      <c r="B129" s="486"/>
      <c r="C129" s="486"/>
      <c r="D129" s="486"/>
      <c r="E129" s="486"/>
      <c r="F129" s="486"/>
      <c r="G129" s="486"/>
    </row>
    <row r="130" spans="1:7" x14ac:dyDescent="0.2">
      <c r="A130" s="486">
        <f>'[1]Beschr-Descr.'!A71</f>
        <v>0</v>
      </c>
      <c r="B130" s="486"/>
      <c r="C130" s="486"/>
      <c r="D130" s="486"/>
      <c r="E130" s="486"/>
      <c r="F130" s="486"/>
      <c r="G130" s="486"/>
    </row>
    <row r="131" spans="1:7" x14ac:dyDescent="0.2">
      <c r="A131" s="486">
        <f>'[1]Beschr-Descr.'!A72</f>
        <v>0</v>
      </c>
      <c r="B131" s="486"/>
      <c r="C131" s="486"/>
      <c r="D131" s="486"/>
      <c r="E131" s="486"/>
      <c r="F131" s="486"/>
      <c r="G131" s="486"/>
    </row>
    <row r="132" spans="1:7" x14ac:dyDescent="0.2">
      <c r="A132" s="486">
        <f>'[1]Beschr-Descr.'!A73</f>
        <v>0</v>
      </c>
      <c r="B132" s="486"/>
      <c r="C132" s="486"/>
      <c r="D132" s="486"/>
      <c r="E132" s="486"/>
      <c r="F132" s="486"/>
      <c r="G132" s="486"/>
    </row>
    <row r="133" spans="1:7" x14ac:dyDescent="0.2">
      <c r="A133" s="486">
        <f>'[1]Beschr-Descr.'!A74</f>
        <v>0</v>
      </c>
      <c r="B133" s="486"/>
      <c r="C133" s="486"/>
      <c r="D133" s="486"/>
      <c r="E133" s="486"/>
      <c r="F133" s="486"/>
      <c r="G133" s="486"/>
    </row>
    <row r="134" spans="1:7" x14ac:dyDescent="0.2">
      <c r="A134" s="486">
        <f>'[1]Beschr-Descr.'!A75</f>
        <v>0</v>
      </c>
      <c r="B134" s="486"/>
      <c r="C134" s="486"/>
      <c r="D134" s="486"/>
      <c r="E134" s="486"/>
      <c r="F134" s="486"/>
      <c r="G134" s="486"/>
    </row>
    <row r="135" spans="1:7" x14ac:dyDescent="0.2">
      <c r="A135" s="486">
        <f>'[1]Beschr-Descr.'!A76</f>
        <v>0</v>
      </c>
      <c r="B135" s="486"/>
      <c r="C135" s="486"/>
      <c r="D135" s="486"/>
      <c r="E135" s="486"/>
      <c r="F135" s="486"/>
      <c r="G135" s="486"/>
    </row>
    <row r="136" spans="1:7" x14ac:dyDescent="0.2">
      <c r="A136" s="486">
        <f>'[1]Beschr-Descr.'!A77</f>
        <v>0</v>
      </c>
      <c r="B136" s="486"/>
      <c r="C136" s="486"/>
      <c r="D136" s="486"/>
      <c r="E136" s="486"/>
      <c r="F136" s="486"/>
      <c r="G136" s="486"/>
    </row>
    <row r="137" spans="1:7" x14ac:dyDescent="0.2">
      <c r="A137" s="486">
        <f>'[1]Beschr-Descr.'!A78</f>
        <v>0</v>
      </c>
      <c r="B137" s="486"/>
      <c r="C137" s="486"/>
      <c r="D137" s="486"/>
      <c r="E137" s="486"/>
      <c r="F137" s="486"/>
      <c r="G137" s="486"/>
    </row>
    <row r="138" spans="1:7" x14ac:dyDescent="0.2">
      <c r="A138" s="486">
        <f>'[1]Beschr-Descr.'!A79</f>
        <v>0</v>
      </c>
      <c r="B138" s="486"/>
      <c r="C138" s="486"/>
      <c r="D138" s="486"/>
      <c r="E138" s="486"/>
      <c r="F138" s="486"/>
      <c r="G138" s="486"/>
    </row>
    <row r="139" spans="1:7" x14ac:dyDescent="0.2">
      <c r="A139" s="486">
        <f>'[1]Beschr-Descr.'!A80</f>
        <v>0</v>
      </c>
      <c r="B139" s="486"/>
      <c r="C139" s="486"/>
      <c r="D139" s="486"/>
      <c r="E139" s="486"/>
      <c r="F139" s="486"/>
      <c r="G139" s="486"/>
    </row>
    <row r="140" spans="1:7" x14ac:dyDescent="0.2">
      <c r="A140" s="486">
        <f>'[1]Beschr-Descr.'!A81</f>
        <v>0</v>
      </c>
      <c r="B140" s="486"/>
      <c r="C140" s="486"/>
      <c r="D140" s="486"/>
      <c r="E140" s="486"/>
      <c r="F140" s="486"/>
      <c r="G140" s="486"/>
    </row>
    <row r="141" spans="1:7" x14ac:dyDescent="0.2">
      <c r="A141" s="486">
        <f>'[1]Beschr-Descr.'!A82</f>
        <v>0</v>
      </c>
      <c r="B141" s="486"/>
      <c r="C141" s="486"/>
      <c r="D141" s="486"/>
      <c r="E141" s="486"/>
      <c r="F141" s="486"/>
      <c r="G141" s="486"/>
    </row>
    <row r="142" spans="1:7" x14ac:dyDescent="0.2">
      <c r="A142" s="486">
        <f>'[1]Beschr-Descr.'!A83</f>
        <v>0</v>
      </c>
      <c r="B142" s="486"/>
      <c r="C142" s="486"/>
      <c r="D142" s="486"/>
      <c r="E142" s="486"/>
      <c r="F142" s="486"/>
      <c r="G142" s="486"/>
    </row>
    <row r="143" spans="1:7" x14ac:dyDescent="0.2">
      <c r="A143" s="486">
        <f>'[1]Beschr-Descr.'!A84</f>
        <v>0</v>
      </c>
      <c r="B143" s="486"/>
      <c r="C143" s="486"/>
      <c r="D143" s="486"/>
      <c r="E143" s="486"/>
      <c r="F143" s="486"/>
      <c r="G143" s="486"/>
    </row>
    <row r="144" spans="1:7" x14ac:dyDescent="0.2">
      <c r="A144" s="486">
        <f>'[1]Beschr-Descr.'!A85</f>
        <v>0</v>
      </c>
      <c r="B144" s="486"/>
      <c r="C144" s="486"/>
      <c r="D144" s="486"/>
      <c r="E144" s="486"/>
      <c r="F144" s="486"/>
      <c r="G144" s="486"/>
    </row>
    <row r="145" spans="1:7" x14ac:dyDescent="0.2">
      <c r="A145" s="486">
        <f>'[1]Beschr-Descr.'!A86</f>
        <v>0</v>
      </c>
      <c r="B145" s="486"/>
      <c r="C145" s="486"/>
      <c r="D145" s="486"/>
      <c r="E145" s="486"/>
      <c r="F145" s="486"/>
      <c r="G145" s="486"/>
    </row>
    <row r="146" spans="1:7" x14ac:dyDescent="0.2">
      <c r="A146" s="486">
        <f>'[1]Beschr-Descr.'!A87</f>
        <v>0</v>
      </c>
      <c r="B146" s="486"/>
      <c r="C146" s="486"/>
      <c r="D146" s="486"/>
      <c r="E146" s="486"/>
      <c r="F146" s="486"/>
      <c r="G146" s="486"/>
    </row>
    <row r="147" spans="1:7" x14ac:dyDescent="0.2">
      <c r="A147" s="486">
        <f>'[1]Beschr-Descr.'!A88</f>
        <v>0</v>
      </c>
      <c r="B147" s="486"/>
      <c r="C147" s="486"/>
      <c r="D147" s="486"/>
      <c r="E147" s="486"/>
      <c r="F147" s="486"/>
      <c r="G147" s="486"/>
    </row>
    <row r="148" spans="1:7" x14ac:dyDescent="0.2">
      <c r="A148" s="486">
        <f>'[1]Beschr-Descr.'!A89</f>
        <v>0</v>
      </c>
      <c r="B148" s="486"/>
      <c r="C148" s="486"/>
      <c r="D148" s="486"/>
      <c r="E148" s="486"/>
      <c r="F148" s="486"/>
      <c r="G148" s="486"/>
    </row>
    <row r="149" spans="1:7" x14ac:dyDescent="0.2">
      <c r="A149" s="486">
        <f>'[1]Beschr-Descr.'!A90</f>
        <v>0</v>
      </c>
      <c r="B149" s="486"/>
      <c r="C149" s="486"/>
      <c r="D149" s="486"/>
      <c r="E149" s="486"/>
      <c r="F149" s="486"/>
      <c r="G149" s="486"/>
    </row>
    <row r="150" spans="1:7" x14ac:dyDescent="0.2">
      <c r="A150" s="486">
        <f>'[1]Beschr-Descr.'!A91</f>
        <v>0</v>
      </c>
      <c r="B150" s="486"/>
      <c r="C150" s="486"/>
      <c r="D150" s="486"/>
      <c r="E150" s="486"/>
      <c r="F150" s="486"/>
      <c r="G150" s="486"/>
    </row>
    <row r="151" spans="1:7" x14ac:dyDescent="0.2">
      <c r="A151" s="486">
        <f>'[1]Beschr-Descr.'!A92</f>
        <v>0</v>
      </c>
      <c r="B151" s="486"/>
      <c r="C151" s="486"/>
      <c r="D151" s="486"/>
      <c r="E151" s="486"/>
      <c r="F151" s="486"/>
      <c r="G151" s="486"/>
    </row>
    <row r="152" spans="1:7" x14ac:dyDescent="0.2">
      <c r="A152" s="486">
        <f>'[1]Beschr-Descr.'!A93</f>
        <v>0</v>
      </c>
      <c r="B152" s="486"/>
      <c r="C152" s="486"/>
      <c r="D152" s="486"/>
      <c r="E152" s="486"/>
      <c r="F152" s="486"/>
      <c r="G152" s="486"/>
    </row>
    <row r="153" spans="1:7" x14ac:dyDescent="0.2">
      <c r="A153" s="486">
        <f>'[1]Beschr-Descr.'!A94</f>
        <v>0</v>
      </c>
      <c r="B153" s="486"/>
      <c r="C153" s="486"/>
      <c r="D153" s="486"/>
      <c r="E153" s="486"/>
      <c r="F153" s="486"/>
      <c r="G153" s="486"/>
    </row>
    <row r="154" spans="1:7" x14ac:dyDescent="0.2">
      <c r="A154" s="486">
        <f>'[1]Beschr-Descr.'!A95</f>
        <v>0</v>
      </c>
      <c r="B154" s="486"/>
      <c r="C154" s="486"/>
      <c r="D154" s="486"/>
      <c r="E154" s="486"/>
      <c r="F154" s="486"/>
      <c r="G154" s="486"/>
    </row>
    <row r="155" spans="1:7" x14ac:dyDescent="0.2">
      <c r="A155" s="486">
        <f>'[1]Beschr-Descr.'!A96</f>
        <v>0</v>
      </c>
      <c r="B155" s="486"/>
      <c r="C155" s="486"/>
      <c r="D155" s="486"/>
      <c r="E155" s="486"/>
      <c r="F155" s="486"/>
      <c r="G155" s="486"/>
    </row>
    <row r="156" spans="1:7" x14ac:dyDescent="0.2">
      <c r="A156" s="486">
        <f>'[1]Beschr-Descr.'!A97</f>
        <v>0</v>
      </c>
      <c r="B156" s="486"/>
      <c r="C156" s="486"/>
      <c r="D156" s="486"/>
      <c r="E156" s="486"/>
      <c r="F156" s="486"/>
      <c r="G156" s="486"/>
    </row>
    <row r="157" spans="1:7" x14ac:dyDescent="0.2">
      <c r="A157" s="486">
        <f>'[1]Beschr-Descr.'!A98</f>
        <v>0</v>
      </c>
      <c r="B157" s="486"/>
      <c r="C157" s="486"/>
      <c r="D157" s="486"/>
      <c r="E157" s="486"/>
      <c r="F157" s="486"/>
      <c r="G157" s="486"/>
    </row>
    <row r="158" spans="1:7" x14ac:dyDescent="0.2">
      <c r="A158" s="486">
        <f>'[1]Beschr-Descr.'!A99</f>
        <v>0</v>
      </c>
      <c r="B158" s="486"/>
      <c r="C158" s="486"/>
      <c r="D158" s="486"/>
      <c r="E158" s="486"/>
      <c r="F158" s="486"/>
      <c r="G158" s="486"/>
    </row>
    <row r="159" spans="1:7" x14ac:dyDescent="0.2">
      <c r="A159" s="486">
        <f>'[1]Beschr-Descr.'!A100</f>
        <v>0</v>
      </c>
      <c r="B159" s="486"/>
      <c r="C159" s="486"/>
      <c r="D159" s="486"/>
      <c r="E159" s="486"/>
      <c r="F159" s="486"/>
      <c r="G159" s="486"/>
    </row>
    <row r="160" spans="1:7" x14ac:dyDescent="0.2">
      <c r="A160" s="486">
        <f>'[1]Beschr-Descr.'!A101</f>
        <v>0</v>
      </c>
      <c r="B160" s="486"/>
      <c r="C160" s="486"/>
      <c r="D160" s="486"/>
      <c r="E160" s="486"/>
      <c r="F160" s="486"/>
      <c r="G160" s="486"/>
    </row>
    <row r="161" spans="1:7" x14ac:dyDescent="0.2">
      <c r="A161" s="486">
        <f>'[1]Beschr-Descr.'!A102</f>
        <v>0</v>
      </c>
      <c r="B161" s="486"/>
      <c r="C161" s="486"/>
      <c r="D161" s="486"/>
      <c r="E161" s="486"/>
      <c r="F161" s="486"/>
      <c r="G161" s="486"/>
    </row>
    <row r="162" spans="1:7" x14ac:dyDescent="0.2">
      <c r="A162" s="486"/>
      <c r="B162" s="486"/>
      <c r="C162" s="486"/>
      <c r="D162" s="486"/>
      <c r="E162" s="486"/>
      <c r="F162" s="486"/>
      <c r="G162" s="486"/>
    </row>
    <row r="163" spans="1:7" x14ac:dyDescent="0.2">
      <c r="A163" s="486"/>
      <c r="B163" s="486"/>
      <c r="C163" s="486"/>
      <c r="D163" s="486"/>
      <c r="E163" s="486"/>
      <c r="F163" s="486"/>
      <c r="G163" s="486"/>
    </row>
    <row r="164" spans="1:7" x14ac:dyDescent="0.2">
      <c r="A164" s="486"/>
      <c r="B164" s="486"/>
      <c r="C164" s="486"/>
      <c r="D164" s="486"/>
      <c r="E164" s="486"/>
      <c r="F164" s="486"/>
      <c r="G164" s="486"/>
    </row>
    <row r="165" spans="1:7" x14ac:dyDescent="0.2">
      <c r="A165" s="486"/>
      <c r="B165" s="486"/>
      <c r="C165" s="486"/>
      <c r="D165" s="486"/>
      <c r="E165" s="486"/>
      <c r="F165" s="486"/>
      <c r="G165" s="486"/>
    </row>
    <row r="166" spans="1:7" x14ac:dyDescent="0.2">
      <c r="A166" s="486"/>
      <c r="B166" s="486"/>
      <c r="C166" s="486"/>
      <c r="D166" s="486"/>
      <c r="E166" s="486"/>
      <c r="F166" s="486"/>
      <c r="G166" s="486"/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6"/>
  <sheetViews>
    <sheetView showGridLines="0" showZeros="0" topLeftCell="A22" zoomScaleNormal="100" workbookViewId="0"/>
  </sheetViews>
  <sheetFormatPr baseColWidth="10" defaultColWidth="11.42578125" defaultRowHeight="12.75" x14ac:dyDescent="0.2"/>
  <cols>
    <col min="1" max="1" width="11.28515625" style="460" customWidth="1"/>
    <col min="2" max="2" width="11.7109375" style="460" customWidth="1"/>
    <col min="3" max="3" width="10.85546875" style="460" customWidth="1"/>
    <col min="4" max="4" width="11.28515625" style="460" customWidth="1"/>
    <col min="5" max="5" width="5.42578125" style="460" customWidth="1"/>
    <col min="6" max="6" width="6" style="460" customWidth="1"/>
    <col min="7" max="7" width="11.140625" style="460" customWidth="1"/>
    <col min="8" max="8" width="9.85546875" style="460" customWidth="1"/>
    <col min="9" max="9" width="9.140625" style="460" customWidth="1"/>
    <col min="10" max="10" width="2.5703125" style="413" customWidth="1"/>
    <col min="11" max="15" width="2.140625" style="486" customWidth="1"/>
    <col min="16" max="16" width="2.28515625" style="460" customWidth="1"/>
    <col min="17" max="17" width="11.28515625" style="460" customWidth="1"/>
    <col min="18" max="18" width="10.7109375" style="460" customWidth="1"/>
    <col min="19" max="19" width="9" style="460" bestFit="1" customWidth="1"/>
    <col min="20" max="20" width="11.28515625" style="460" bestFit="1" customWidth="1"/>
    <col min="21" max="21" width="8.5703125" style="460" bestFit="1" customWidth="1"/>
    <col min="22" max="24" width="10.7109375" style="460" customWidth="1"/>
    <col min="25" max="16384" width="11.42578125" style="460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[1]Firma!$A$21</f>
        <v>45231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452"/>
      <c r="D3" s="452"/>
      <c r="E3" s="690" t="s">
        <v>126</v>
      </c>
      <c r="F3" s="691"/>
      <c r="G3" s="453" t="str">
        <f>VLOOKUP(P3,'[1]Mit-1'!$A$5:$B$19,2,FALSE)</f>
        <v>Mustermann Max</v>
      </c>
      <c r="H3" s="454"/>
      <c r="I3" s="455"/>
      <c r="J3" s="407"/>
      <c r="K3" s="456"/>
      <c r="L3" s="456"/>
      <c r="M3" s="456"/>
      <c r="N3" s="456"/>
      <c r="O3" s="457"/>
      <c r="P3" s="458">
        <v>1</v>
      </c>
      <c r="Q3" s="459"/>
      <c r="R3" s="459"/>
      <c r="S3" s="459"/>
      <c r="T3" s="459"/>
      <c r="U3" s="459"/>
      <c r="V3" s="459"/>
      <c r="W3" s="459"/>
      <c r="X3" s="459"/>
      <c r="Y3" s="459"/>
      <c r="Z3" s="459"/>
    </row>
    <row r="4" spans="1:26" ht="10.5" customHeight="1" x14ac:dyDescent="0.2">
      <c r="A4" s="129" t="s">
        <v>101</v>
      </c>
      <c r="B4" s="431">
        <f>[1]Firma!$B$4</f>
        <v>0</v>
      </c>
      <c r="C4" s="431"/>
      <c r="D4" s="431"/>
      <c r="E4" s="269" t="s">
        <v>127</v>
      </c>
      <c r="F4" s="461"/>
      <c r="G4" s="41" t="str">
        <f>VLOOKUP($P$3,'[1]Mit-1'!$A$5:$U$19,3,FALSE)</f>
        <v>39100 Bozen, Brennerstrasse 2</v>
      </c>
      <c r="H4" s="462"/>
      <c r="I4" s="463"/>
      <c r="J4" s="408"/>
      <c r="K4" s="461"/>
      <c r="L4" s="461"/>
      <c r="M4" s="461"/>
      <c r="N4" s="452"/>
      <c r="O4" s="464"/>
      <c r="P4" s="459"/>
      <c r="V4" s="459"/>
      <c r="W4" s="459"/>
      <c r="X4" s="459"/>
      <c r="Y4" s="459"/>
      <c r="Z4" s="459"/>
    </row>
    <row r="5" spans="1:26" ht="16.899999999999999" customHeight="1" x14ac:dyDescent="0.2">
      <c r="A5" s="130" t="s">
        <v>102</v>
      </c>
      <c r="B5" s="391">
        <f>[1]Firma!$C$4</f>
        <v>0</v>
      </c>
      <c r="C5" s="431"/>
      <c r="D5" s="431"/>
      <c r="E5" s="690" t="s">
        <v>103</v>
      </c>
      <c r="F5" s="691"/>
      <c r="G5" s="41" t="str">
        <f>VLOOKUP($P$3,'[1]Mit-1'!$A$5:$U$19,6,FALSE)</f>
        <v>AAABBB84B11B220G</v>
      </c>
      <c r="H5" s="462"/>
      <c r="I5" s="455"/>
      <c r="J5" s="408"/>
      <c r="K5" s="452"/>
      <c r="L5" s="452"/>
      <c r="M5" s="452"/>
      <c r="N5" s="452"/>
      <c r="O5" s="464"/>
      <c r="P5" s="459"/>
      <c r="Q5" s="747" t="s">
        <v>251</v>
      </c>
      <c r="R5" s="748"/>
      <c r="S5" s="749"/>
      <c r="T5" s="459"/>
      <c r="U5" s="459"/>
      <c r="V5" s="459"/>
      <c r="W5" s="459"/>
      <c r="X5" s="459"/>
      <c r="Y5" s="459"/>
      <c r="Z5" s="459"/>
    </row>
    <row r="6" spans="1:26" ht="16.899999999999999" customHeight="1" x14ac:dyDescent="0.2">
      <c r="A6" s="130" t="s">
        <v>103</v>
      </c>
      <c r="B6" s="391">
        <f>[1]Firma!$D$4</f>
        <v>0</v>
      </c>
      <c r="C6" s="431"/>
      <c r="D6" s="431"/>
      <c r="E6" s="269" t="s">
        <v>128</v>
      </c>
      <c r="F6" s="461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461"/>
      <c r="L6" s="461"/>
      <c r="M6" s="461"/>
      <c r="N6" s="452"/>
      <c r="O6" s="464"/>
      <c r="P6" s="459"/>
      <c r="Q6" s="750"/>
      <c r="R6" s="751"/>
      <c r="S6" s="752"/>
      <c r="T6" s="459"/>
      <c r="U6" s="459"/>
      <c r="V6" s="459"/>
      <c r="W6" s="459"/>
      <c r="X6" s="459"/>
      <c r="Y6" s="459"/>
      <c r="Z6" s="459"/>
    </row>
    <row r="7" spans="1:26" ht="16.899999999999999" customHeight="1" x14ac:dyDescent="0.2">
      <c r="A7" s="129" t="s">
        <v>104</v>
      </c>
      <c r="B7" s="391">
        <f>[1]Firma!$E$4</f>
        <v>0</v>
      </c>
      <c r="C7" s="431"/>
      <c r="D7" s="431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461"/>
      <c r="L7" s="461"/>
      <c r="M7" s="461"/>
      <c r="N7" s="452"/>
      <c r="O7" s="464"/>
      <c r="P7" s="459"/>
      <c r="Q7" s="753" t="s">
        <v>134</v>
      </c>
      <c r="R7" s="754"/>
      <c r="S7" s="755"/>
      <c r="T7" s="459"/>
      <c r="U7" s="459"/>
      <c r="V7" s="459"/>
      <c r="W7" s="459"/>
      <c r="X7" s="459"/>
      <c r="Y7" s="459"/>
      <c r="Z7" s="459"/>
    </row>
    <row r="8" spans="1:26" ht="16.899999999999999" customHeight="1" x14ac:dyDescent="0.2">
      <c r="A8" s="129" t="s">
        <v>105</v>
      </c>
      <c r="B8" s="391">
        <f>[1]Firma!$F$4</f>
        <v>0</v>
      </c>
      <c r="C8" s="431"/>
      <c r="D8" s="431"/>
      <c r="E8" s="690" t="s">
        <v>130</v>
      </c>
      <c r="F8" s="691"/>
      <c r="G8" s="217">
        <f>VLOOKUP($P$3,'[1]Mit-2'!$A$5:$P$19,14,FALSE)</f>
        <v>2</v>
      </c>
      <c r="H8" s="133" t="s">
        <v>231</v>
      </c>
      <c r="I8" s="221">
        <f>VLOOKUP($P$3,'[1]Mit-2'!$A$46:$AD$60,28,FALSE)</f>
        <v>2</v>
      </c>
      <c r="J8" s="610" t="s">
        <v>226</v>
      </c>
      <c r="K8" s="611"/>
      <c r="L8" s="611"/>
      <c r="M8" s="611"/>
      <c r="N8" s="611"/>
      <c r="O8" s="612"/>
      <c r="P8" s="459"/>
      <c r="Q8" s="753"/>
      <c r="R8" s="754"/>
      <c r="S8" s="755"/>
      <c r="T8" s="459"/>
      <c r="U8" s="459"/>
      <c r="V8" s="459"/>
      <c r="W8" s="459"/>
      <c r="X8" s="459"/>
      <c r="Y8" s="459"/>
      <c r="Z8" s="459"/>
    </row>
    <row r="9" spans="1:26" ht="16.899999999999999" customHeight="1" x14ac:dyDescent="0.2">
      <c r="A9" s="465"/>
      <c r="B9" s="456"/>
      <c r="C9" s="456"/>
      <c r="D9" s="456"/>
      <c r="E9" s="690" t="s">
        <v>131</v>
      </c>
      <c r="F9" s="691"/>
      <c r="G9" s="581">
        <f>VLOOKUP($P$3,'[1]Mit-2'!$A$5:$AD$19,28,FALSE)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459"/>
      <c r="Q9" s="466"/>
      <c r="R9" s="561"/>
      <c r="S9" s="464"/>
      <c r="T9" s="467">
        <f>[1]Firma!$B$21</f>
        <v>30</v>
      </c>
      <c r="U9" s="459"/>
      <c r="V9" s="459"/>
      <c r="W9" s="459"/>
      <c r="X9" s="459"/>
      <c r="Y9" s="459"/>
      <c r="Z9" s="459"/>
    </row>
    <row r="10" spans="1:26" ht="10.9" customHeight="1" x14ac:dyDescent="0.2">
      <c r="A10" s="271" t="s">
        <v>108</v>
      </c>
      <c r="B10" s="468"/>
      <c r="C10" s="468"/>
      <c r="D10" s="468"/>
      <c r="E10" s="468"/>
      <c r="F10" s="468"/>
      <c r="G10" s="469"/>
      <c r="H10" s="469"/>
      <c r="I10" s="470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459"/>
      <c r="Q10" s="673" t="s">
        <v>207</v>
      </c>
      <c r="R10" s="674"/>
      <c r="S10" s="675"/>
      <c r="T10" s="459"/>
      <c r="U10" s="459"/>
      <c r="V10" s="459"/>
      <c r="W10" s="459"/>
      <c r="X10" s="459"/>
      <c r="Y10" s="459"/>
      <c r="Z10" s="459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x14ac:dyDescent="0.2">
      <c r="A12" s="471">
        <f>VLOOKUP($G$8,'[1]Lohntab-Tab-retr.'!$A$7:$O$15,13,FALSE)</f>
        <v>1477.83</v>
      </c>
      <c r="B12" s="472">
        <f>VLOOKUP($G$8,'[1]Lohntab-Tab-retr.'!$A$21:$O$29,13,FALSE)</f>
        <v>532.54</v>
      </c>
      <c r="C12" s="472">
        <f>I8*VLOOKUP($G$8,'[1]Lohntab-Tab-retr.'!$A$63:$O$71,13,FALSE)</f>
        <v>45.66</v>
      </c>
      <c r="D12" s="472">
        <f>VLOOKUP($G$8,'[1]Lohntab-Tab-retr.'!$A$35:$O$43,13,FALSE)</f>
        <v>0</v>
      </c>
      <c r="E12" s="745">
        <f>VLOOKUP($G$8,'[1]Lohntab-Tab-retr.'!$A$49:$O$57,13,FALSE)</f>
        <v>8</v>
      </c>
      <c r="F12" s="745"/>
      <c r="G12" s="472">
        <f>VLOOKUP($P$3,'[1]Mit-2'!$A$24:$P$38,14,FALSE)</f>
        <v>300</v>
      </c>
      <c r="H12" s="472">
        <f>VLOOKUP($G$8,'[1]Lohntab-Tab-retr.'!$A$77:$O$85,13,FALSE)</f>
        <v>0</v>
      </c>
      <c r="I12" s="473"/>
      <c r="J12" s="617"/>
      <c r="K12" s="620"/>
      <c r="L12" s="623"/>
      <c r="M12" s="623"/>
      <c r="N12" s="623"/>
      <c r="O12" s="693"/>
      <c r="P12" s="459"/>
      <c r="Q12" s="459"/>
      <c r="R12" s="459"/>
      <c r="S12" s="459"/>
      <c r="T12" s="459"/>
      <c r="U12" s="459"/>
      <c r="V12" s="459"/>
      <c r="W12" s="459"/>
      <c r="X12" s="459"/>
      <c r="Y12" s="459"/>
      <c r="Z12" s="459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474">
        <f>[1]Tab!G140</f>
        <v>168</v>
      </c>
      <c r="B14" s="475">
        <f>[1]Tab!G141</f>
        <v>26</v>
      </c>
      <c r="C14" s="419">
        <f>ROUND(I14/A14,5)</f>
        <v>14.07161</v>
      </c>
      <c r="D14" s="419">
        <f>ROUND(I14/B14,5)</f>
        <v>90.924229999999994</v>
      </c>
      <c r="E14" s="746">
        <f>COUNT(K19:K49)</f>
        <v>0</v>
      </c>
      <c r="F14" s="746"/>
      <c r="G14" s="475">
        <f>K50</f>
        <v>0</v>
      </c>
      <c r="H14" s="475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476"/>
      <c r="Q14" s="476"/>
      <c r="R14" s="476"/>
      <c r="S14" s="476"/>
      <c r="T14" s="476"/>
      <c r="U14" s="476"/>
      <c r="V14" s="476"/>
      <c r="W14" s="476"/>
      <c r="X14" s="476"/>
      <c r="Y14" s="476"/>
      <c r="Z14" s="476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2">
        <f>'10'!A16+(VLOOKUP($P$3,'[1]Mit-2'!$A$90:$P$104,14,FALSE))*G9%</f>
        <v>14.43</v>
      </c>
      <c r="B16" s="569">
        <f>M50</f>
        <v>0</v>
      </c>
      <c r="C16" s="569">
        <f>A16-B16</f>
        <v>14.43</v>
      </c>
      <c r="D16" s="569">
        <f>'10'!D16+(VLOOKUP($P$3,'[1]Mit-2'!$A$90:$AD$104,28,FALSE))*G9%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</row>
    <row r="17" spans="1:26" ht="3.75" customHeight="1" x14ac:dyDescent="0.2">
      <c r="A17" s="477"/>
      <c r="B17" s="478"/>
      <c r="C17" s="478"/>
      <c r="D17" s="478"/>
      <c r="E17" s="478"/>
      <c r="F17" s="478"/>
      <c r="G17" s="478"/>
      <c r="H17" s="478"/>
      <c r="I17" s="479"/>
      <c r="J17" s="617"/>
      <c r="K17" s="620"/>
      <c r="L17" s="623"/>
      <c r="M17" s="623"/>
      <c r="N17" s="623"/>
      <c r="O17" s="693"/>
      <c r="P17" s="459"/>
      <c r="Q17" s="459"/>
      <c r="R17" s="459"/>
      <c r="S17" s="459"/>
      <c r="T17" s="459"/>
      <c r="U17" s="459"/>
      <c r="V17" s="459"/>
      <c r="W17" s="459"/>
      <c r="X17" s="459"/>
      <c r="Y17" s="459"/>
      <c r="Z17" s="459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776"/>
      <c r="B19" s="777"/>
      <c r="C19" s="777"/>
      <c r="D19" s="553"/>
      <c r="E19" s="548"/>
      <c r="F19" s="554"/>
      <c r="G19" s="480">
        <f>VLOOKUP(A19,A66:F121,5,FALSE)</f>
        <v>0</v>
      </c>
      <c r="H19" s="436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459"/>
      <c r="W19" s="459"/>
      <c r="X19" s="459"/>
      <c r="Y19" s="10"/>
      <c r="Z19" s="9"/>
    </row>
    <row r="20" spans="1:26" ht="12" customHeight="1" x14ac:dyDescent="0.2">
      <c r="A20" s="756"/>
      <c r="B20" s="757"/>
      <c r="C20" s="757"/>
      <c r="D20" s="555"/>
      <c r="E20" s="551"/>
      <c r="F20" s="556"/>
      <c r="G20" s="480">
        <f>VLOOKUP(A20,A67:F122,5,FALSE)</f>
        <v>0</v>
      </c>
      <c r="H20" s="436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756"/>
      <c r="B21" s="757"/>
      <c r="C21" s="757"/>
      <c r="D21" s="555"/>
      <c r="E21" s="551"/>
      <c r="F21" s="556"/>
      <c r="G21" s="480">
        <f>VLOOKUP(A21,A66:F121,5,FALSE)</f>
        <v>0</v>
      </c>
      <c r="H21" s="436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756"/>
      <c r="B22" s="757"/>
      <c r="C22" s="757"/>
      <c r="D22" s="555"/>
      <c r="E22" s="551"/>
      <c r="F22" s="556"/>
      <c r="G22" s="480">
        <f>VLOOKUP(A22,A67:F122,5,FALSE)</f>
        <v>0</v>
      </c>
      <c r="H22" s="436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756"/>
      <c r="B23" s="757"/>
      <c r="C23" s="757"/>
      <c r="D23" s="555"/>
      <c r="E23" s="551"/>
      <c r="F23" s="556"/>
      <c r="G23" s="480">
        <f t="shared" ref="G23:G28" si="2">VLOOKUP(A23,A67:F122,5,FALSE)</f>
        <v>0</v>
      </c>
      <c r="H23" s="436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756"/>
      <c r="B24" s="757"/>
      <c r="C24" s="757"/>
      <c r="D24" s="555"/>
      <c r="E24" s="551"/>
      <c r="F24" s="556"/>
      <c r="G24" s="480">
        <f t="shared" si="2"/>
        <v>0</v>
      </c>
      <c r="H24" s="436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756"/>
      <c r="B25" s="757"/>
      <c r="C25" s="757"/>
      <c r="D25" s="555"/>
      <c r="E25" s="551"/>
      <c r="F25" s="556"/>
      <c r="G25" s="480">
        <f t="shared" si="2"/>
        <v>0</v>
      </c>
      <c r="H25" s="436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756"/>
      <c r="B26" s="757"/>
      <c r="C26" s="757"/>
      <c r="D26" s="555"/>
      <c r="E26" s="551"/>
      <c r="F26" s="556"/>
      <c r="G26" s="480">
        <f t="shared" si="2"/>
        <v>0</v>
      </c>
      <c r="H26" s="436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756"/>
      <c r="B27" s="757"/>
      <c r="C27" s="757"/>
      <c r="D27" s="555"/>
      <c r="E27" s="551"/>
      <c r="F27" s="556"/>
      <c r="G27" s="480">
        <f t="shared" si="2"/>
        <v>0</v>
      </c>
      <c r="H27" s="436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756"/>
      <c r="B28" s="757"/>
      <c r="C28" s="757"/>
      <c r="D28" s="555"/>
      <c r="E28" s="551"/>
      <c r="F28" s="556"/>
      <c r="G28" s="480">
        <f t="shared" si="2"/>
        <v>0</v>
      </c>
      <c r="H28" s="436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481"/>
      <c r="C30" s="482"/>
      <c r="D30" s="482"/>
      <c r="E30" s="482"/>
      <c r="F30" s="146" t="s">
        <v>55</v>
      </c>
      <c r="G30" s="437">
        <f>ROUND(I29,0)</f>
        <v>0</v>
      </c>
      <c r="H30" s="420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459"/>
      <c r="Z30" s="459"/>
    </row>
    <row r="31" spans="1:26" ht="12" customHeight="1" x14ac:dyDescent="0.2">
      <c r="A31" s="148" t="s">
        <v>237</v>
      </c>
      <c r="B31" s="483"/>
      <c r="C31" s="484"/>
      <c r="D31" s="484"/>
      <c r="E31" s="484"/>
      <c r="F31" s="147" t="s">
        <v>55</v>
      </c>
      <c r="G31" s="438">
        <f>ROUND(I29,2)</f>
        <v>0</v>
      </c>
      <c r="H31" s="421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459"/>
      <c r="Z31" s="459"/>
    </row>
    <row r="32" spans="1:26" ht="12" customHeight="1" x14ac:dyDescent="0.2">
      <c r="A32" s="148" t="s">
        <v>234</v>
      </c>
      <c r="B32" s="483"/>
      <c r="C32" s="484"/>
      <c r="D32" s="484"/>
      <c r="E32" s="484"/>
      <c r="F32" s="147" t="s">
        <v>55</v>
      </c>
      <c r="G32" s="438">
        <f>IF(I29=0,0,IF(R9&gt;0,SUM(A12:B12)/T9*R9,SUM(A12:B12)))</f>
        <v>0</v>
      </c>
      <c r="H32" s="421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459"/>
      <c r="Z32" s="459"/>
    </row>
    <row r="33" spans="1:26" ht="12" customHeight="1" x14ac:dyDescent="0.2">
      <c r="A33" s="148" t="s">
        <v>235</v>
      </c>
      <c r="B33" s="483"/>
      <c r="C33" s="484"/>
      <c r="D33" s="484"/>
      <c r="E33" s="484"/>
      <c r="F33" s="147" t="s">
        <v>55</v>
      </c>
      <c r="G33" s="438">
        <f>G30</f>
        <v>0</v>
      </c>
      <c r="H33" s="421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459"/>
      <c r="Z33" s="459"/>
    </row>
    <row r="34" spans="1:26" ht="12" customHeight="1" x14ac:dyDescent="0.2">
      <c r="A34" s="148" t="s">
        <v>258</v>
      </c>
      <c r="B34" s="483"/>
      <c r="C34" s="484"/>
      <c r="D34" s="484"/>
      <c r="E34" s="484"/>
      <c r="F34" s="519"/>
      <c r="G34" s="485"/>
      <c r="H34" s="521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459"/>
      <c r="Z34" s="459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485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433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486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434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486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435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486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435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486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487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488"/>
      <c r="D44" s="489"/>
      <c r="E44" s="772"/>
      <c r="F44" s="773"/>
      <c r="G44" s="490"/>
      <c r="H44" s="538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491">
        <f>[1]Tab!E8</f>
        <v>0</v>
      </c>
      <c r="R44" s="492">
        <f>[1]Tab!F8</f>
        <v>1250</v>
      </c>
      <c r="S44" s="493">
        <f>[1]Tab!G8</f>
        <v>0.23</v>
      </c>
      <c r="T44" s="494">
        <f>ROUND(R44*S44,2)</f>
        <v>287.5</v>
      </c>
      <c r="U44" s="494">
        <f ca="1">ROUND(IF(AND($H$38&lt;=R44,$H$38&gt;0),$H$38*S44,0),2)</f>
        <v>0</v>
      </c>
      <c r="V44" s="12"/>
      <c r="W44" s="9"/>
      <c r="X44" s="9"/>
      <c r="Y44" s="9"/>
      <c r="Z44" s="9"/>
    </row>
    <row r="45" spans="1:26" s="459" customFormat="1" ht="12" customHeight="1" x14ac:dyDescent="0.2">
      <c r="A45" s="161" t="s">
        <v>115</v>
      </c>
      <c r="B45" s="22"/>
      <c r="C45" s="163" t="s">
        <v>256</v>
      </c>
      <c r="D45" s="495">
        <v>11</v>
      </c>
      <c r="E45" s="743"/>
      <c r="F45" s="744"/>
      <c r="G45" s="496"/>
      <c r="H45" s="439">
        <f>IF(I29=0,0,VLOOKUP($P$3,'[1]Mit-2'!$A$65:$P$79,14,FALSE))</f>
        <v>0</v>
      </c>
      <c r="I45" s="226">
        <f>IF($I$9="",ROUND(IF($I$29=0,0,-H45/D45),2),-Steuern!J55)</f>
        <v>0</v>
      </c>
      <c r="J45" s="410">
        <v>27</v>
      </c>
      <c r="K45" s="542"/>
      <c r="L45" s="543"/>
      <c r="M45" s="543"/>
      <c r="N45" s="543"/>
      <c r="O45" s="544"/>
      <c r="P45" s="9"/>
      <c r="Q45" s="491">
        <f>[1]Tab!E9</f>
        <v>1250.01</v>
      </c>
      <c r="R45" s="492">
        <f>[1]Tab!F9</f>
        <v>2333.33</v>
      </c>
      <c r="S45" s="493">
        <f>[1]Tab!G9</f>
        <v>0.25</v>
      </c>
      <c r="T45" s="494">
        <f>ROUND((R45-Q45)*S45+T44,2)</f>
        <v>558.33000000000004</v>
      </c>
      <c r="U45" s="494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497"/>
      <c r="C46" s="18"/>
      <c r="D46" s="16"/>
      <c r="E46" s="717"/>
      <c r="F46" s="718"/>
      <c r="G46" s="164"/>
      <c r="H46" s="167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491">
        <f>[1]Tab!E10</f>
        <v>2333.34</v>
      </c>
      <c r="R46" s="492">
        <f>[1]Tab!F10</f>
        <v>4166.67</v>
      </c>
      <c r="S46" s="493">
        <f>[1]Tab!G10</f>
        <v>0.35</v>
      </c>
      <c r="T46" s="494">
        <f>ROUND((R46-Q46)*S46+T45,2)</f>
        <v>1200</v>
      </c>
      <c r="U46" s="494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488"/>
      <c r="D47" s="489"/>
      <c r="E47" s="743"/>
      <c r="F47" s="744"/>
      <c r="G47" s="490"/>
      <c r="H47" s="538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459"/>
      <c r="Q47" s="491">
        <f>[1]Tab!E11</f>
        <v>4166.68</v>
      </c>
      <c r="R47" s="492">
        <f>[1]Tab!F11</f>
        <v>0</v>
      </c>
      <c r="S47" s="493">
        <f>[1]Tab!G11</f>
        <v>0.43</v>
      </c>
      <c r="T47" s="494"/>
      <c r="U47" s="494">
        <f ca="1">ROUND(IF(AND($H$38&lt;=R47,$H$38&gt;=Q47),T46+($H$38-R46)*S47,0),2)</f>
        <v>0</v>
      </c>
      <c r="V47" s="454"/>
      <c r="W47" s="459"/>
      <c r="X47" s="459"/>
      <c r="Y47" s="459"/>
      <c r="Z47" s="459"/>
    </row>
    <row r="48" spans="1:26" ht="12" customHeight="1" x14ac:dyDescent="0.2">
      <c r="A48" s="322" t="s">
        <v>115</v>
      </c>
      <c r="B48" s="323"/>
      <c r="C48" s="324" t="s">
        <v>257</v>
      </c>
      <c r="D48" s="498">
        <v>11</v>
      </c>
      <c r="E48" s="770"/>
      <c r="F48" s="771"/>
      <c r="G48" s="499"/>
      <c r="H48" s="451">
        <f>IF(I29=0,0,VLOOKUP($P$3,'[1]Mit-2'!$A$65:$AD$79,28,FALSE))</f>
        <v>0</v>
      </c>
      <c r="I48" s="226">
        <f>IF($I$9="",ROUND(IF($I$29=0,0,-H48/D48),2),-Steuern!N55)</f>
        <v>0</v>
      </c>
      <c r="J48" s="411">
        <v>30</v>
      </c>
      <c r="K48" s="542"/>
      <c r="L48" s="543"/>
      <c r="M48" s="543"/>
      <c r="N48" s="543"/>
      <c r="O48" s="544"/>
      <c r="P48" s="459"/>
      <c r="Q48" s="491">
        <f>[1]Tab!E12</f>
        <v>0</v>
      </c>
      <c r="R48" s="492"/>
      <c r="S48" s="493">
        <f>[1]Tab!G12</f>
        <v>0</v>
      </c>
      <c r="T48" s="500"/>
      <c r="U48" s="494">
        <f ca="1">ROUND(IF($H$38&gt;R47,T47+($H$38-R47)*S48,0),2)</f>
        <v>0</v>
      </c>
      <c r="V48" s="454"/>
      <c r="W48" s="459"/>
      <c r="X48" s="459"/>
      <c r="Y48" s="459"/>
      <c r="Z48" s="459"/>
    </row>
    <row r="49" spans="1:26" ht="12" customHeight="1" x14ac:dyDescent="0.2">
      <c r="A49" s="161" t="s">
        <v>147</v>
      </c>
      <c r="B49" s="329">
        <v>0.3</v>
      </c>
      <c r="C49" s="330">
        <f>H48</f>
        <v>0</v>
      </c>
      <c r="D49" s="331">
        <f>ROUND(C49*B49,2)</f>
        <v>0</v>
      </c>
      <c r="E49" s="741"/>
      <c r="F49" s="742"/>
      <c r="G49" s="332" t="s">
        <v>250</v>
      </c>
      <c r="H49" s="333">
        <v>9</v>
      </c>
      <c r="I49" s="518">
        <f>IF($I$9="",ROUND(IF($I$29=0,0,-D49/H49),2),-Steuern!R56)</f>
        <v>0</v>
      </c>
      <c r="J49" s="416">
        <v>31</v>
      </c>
      <c r="K49" s="542"/>
      <c r="L49" s="543"/>
      <c r="M49" s="543"/>
      <c r="N49" s="543"/>
      <c r="O49" s="544"/>
      <c r="P49" s="459"/>
      <c r="Q49" s="491">
        <f>[1]Tab!E13</f>
        <v>0</v>
      </c>
      <c r="R49" s="492"/>
      <c r="S49" s="493">
        <f>[1]Tab!G13</f>
        <v>0</v>
      </c>
      <c r="T49" s="500"/>
      <c r="U49" s="494">
        <f ca="1">ROUND(IF($H$38&gt;R48,T48+($H$38-R48)*S49,0),2)</f>
        <v>0</v>
      </c>
      <c r="V49" s="454"/>
      <c r="W49" s="459"/>
      <c r="X49" s="459"/>
      <c r="Y49" s="459"/>
      <c r="Z49" s="459"/>
    </row>
    <row r="50" spans="1:26" ht="12" customHeight="1" x14ac:dyDescent="0.2">
      <c r="A50" s="160" t="s">
        <v>139</v>
      </c>
      <c r="B50" s="50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502" t="s">
        <v>8</v>
      </c>
      <c r="R50" s="503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504"/>
      <c r="C51" s="438">
        <f>IF(I29=0,0,Steuern!J87)</f>
        <v>0</v>
      </c>
      <c r="D51" s="438">
        <f>IF(I29=0,0,Steuern!L87)</f>
        <v>0</v>
      </c>
      <c r="E51" s="743">
        <f>IF(I29=0,0,Steuern!N87)</f>
        <v>0</v>
      </c>
      <c r="F51" s="744"/>
      <c r="G51" s="438">
        <f>IF(I29=0,0,Steuern!P87)</f>
        <v>0</v>
      </c>
      <c r="H51" s="505">
        <f>IF(I29=0,0,Steuern!R87)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506"/>
      <c r="C52" s="507">
        <f>IF($I$9="",0,Steuern!J89)</f>
        <v>0</v>
      </c>
      <c r="D52" s="507">
        <f>U60</f>
        <v>0</v>
      </c>
      <c r="E52" s="763">
        <f>IF($I$9="",0,Ausgleich!F60)</f>
        <v>0</v>
      </c>
      <c r="F52" s="764"/>
      <c r="G52" s="508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509"/>
      <c r="C53" s="509"/>
      <c r="D53" s="509"/>
      <c r="E53" s="509"/>
      <c r="F53" s="509"/>
      <c r="G53" s="509"/>
      <c r="H53" s="509"/>
      <c r="I53" s="234">
        <f ca="1">SUM(I29:I52)</f>
        <v>0</v>
      </c>
      <c r="J53" s="412"/>
      <c r="K53" s="461"/>
      <c r="L53" s="461"/>
      <c r="M53" s="461"/>
      <c r="N53" s="461"/>
      <c r="O53" s="457"/>
      <c r="P53" s="34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510"/>
      <c r="W53" s="34"/>
      <c r="X53" s="34"/>
      <c r="Y53" s="34"/>
      <c r="Z53" s="34"/>
    </row>
    <row r="54" spans="1:26" ht="12" customHeight="1" x14ac:dyDescent="0.2">
      <c r="A54" s="170" t="s">
        <v>120</v>
      </c>
      <c r="B54" s="173" t="s">
        <v>124</v>
      </c>
      <c r="C54" s="511">
        <f>IF($I$9="",0,VLOOKUP($P$3,'[1]Mit-1'!$A$5:$AD$19,22,FALSE))</f>
        <v>0</v>
      </c>
      <c r="D54" s="139" t="s">
        <v>38</v>
      </c>
      <c r="E54" s="760">
        <f>ROUND(IF($I$9="",0,Steuern!$D$89/13.5),2)</f>
        <v>0</v>
      </c>
      <c r="F54" s="761"/>
      <c r="G54" s="139" t="s">
        <v>40</v>
      </c>
      <c r="H54" s="512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459"/>
      <c r="W54" s="459"/>
      <c r="X54" s="459"/>
    </row>
    <row r="55" spans="1:26" ht="15" customHeight="1" x14ac:dyDescent="0.2">
      <c r="A55" s="172" t="s">
        <v>121</v>
      </c>
      <c r="B55" s="175" t="s">
        <v>37</v>
      </c>
      <c r="C55" s="536"/>
      <c r="D55" s="174" t="s">
        <v>39</v>
      </c>
      <c r="E55" s="766"/>
      <c r="F55" s="767"/>
      <c r="G55" s="174" t="s">
        <v>35</v>
      </c>
      <c r="H55" s="538"/>
      <c r="I55" s="527">
        <f>-(E55-H55)</f>
        <v>0</v>
      </c>
      <c r="J55" s="532"/>
      <c r="K55" s="531"/>
      <c r="L55" s="531"/>
      <c r="M55" s="531"/>
      <c r="N55" s="709"/>
      <c r="O55" s="710"/>
      <c r="Q55" s="491">
        <f>[1]Tab!A8</f>
        <v>0</v>
      </c>
      <c r="R55" s="492">
        <f>[1]Tab!D8</f>
        <v>15000</v>
      </c>
      <c r="S55" s="493">
        <f>S44</f>
        <v>0.23</v>
      </c>
      <c r="T55" s="494">
        <f>ROUND(R55*S55,2)</f>
        <v>3450</v>
      </c>
      <c r="U55" s="494">
        <f>ROUND(IF(AND($C$52&lt;=R55,C52&gt;0),$C$52*S55,0),2)</f>
        <v>0</v>
      </c>
      <c r="V55" s="459"/>
      <c r="W55" s="459"/>
      <c r="X55" s="459"/>
    </row>
    <row r="56" spans="1:26" ht="16.899999999999999" customHeight="1" x14ac:dyDescent="0.2">
      <c r="A56" s="596" t="s">
        <v>122</v>
      </c>
      <c r="B56" s="177" t="s">
        <v>125</v>
      </c>
      <c r="C56" s="598">
        <f>ROUND(C54*'[1]Mit-2'!$N$84%,2)</f>
        <v>0</v>
      </c>
      <c r="D56" s="176" t="s">
        <v>262</v>
      </c>
      <c r="E56" s="763">
        <f>ROUND(C56*[1]Tab!$G$142,2)</f>
        <v>0</v>
      </c>
      <c r="F56" s="764"/>
      <c r="G56" s="589"/>
      <c r="H56" s="599"/>
      <c r="I56" s="224">
        <f>C56-E56</f>
        <v>0</v>
      </c>
      <c r="J56" s="532"/>
      <c r="K56" s="531"/>
      <c r="L56" s="531"/>
      <c r="M56" s="531"/>
      <c r="N56" s="709"/>
      <c r="O56" s="710"/>
      <c r="Q56" s="491">
        <f>[1]Tab!A9</f>
        <v>15000.01</v>
      </c>
      <c r="R56" s="492">
        <f>[1]Tab!D9</f>
        <v>28000</v>
      </c>
      <c r="S56" s="493">
        <f>S45</f>
        <v>0.25</v>
      </c>
      <c r="T56" s="494">
        <f>ROUND((R56-Q56)*S56+T55,2)</f>
        <v>6700</v>
      </c>
      <c r="U56" s="494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93"/>
      <c r="C57" s="593"/>
      <c r="D57" s="594"/>
      <c r="E57" s="765"/>
      <c r="F57" s="765"/>
      <c r="G57" s="594"/>
      <c r="H57" s="59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34"/>
      <c r="Q57" s="491">
        <f>[1]Tab!A10</f>
        <v>28000.01</v>
      </c>
      <c r="R57" s="492">
        <f>[1]Tab!D10</f>
        <v>50000</v>
      </c>
      <c r="S57" s="493">
        <f>S46</f>
        <v>0.35</v>
      </c>
      <c r="T57" s="494">
        <f>ROUND((R57-Q57)*S57+T56,2)</f>
        <v>14400</v>
      </c>
      <c r="U57" s="494">
        <f>ROUND(IF(AND($C$52&lt;=R57,$C$52&gt;=Q57),T56+($C$52-R56)*S57,0),2)</f>
        <v>0</v>
      </c>
      <c r="V57" s="34"/>
      <c r="W57" s="34"/>
      <c r="X57" s="34"/>
      <c r="Y57" s="34"/>
      <c r="Z57" s="34"/>
    </row>
    <row r="58" spans="1:26" ht="12.75" customHeight="1" x14ac:dyDescent="0.2">
      <c r="A58" s="600"/>
      <c r="B58" s="605"/>
      <c r="C58" s="605"/>
      <c r="D58" s="606"/>
      <c r="E58" s="762"/>
      <c r="F58" s="762"/>
      <c r="G58" s="606"/>
      <c r="H58" s="607"/>
      <c r="I58" s="604"/>
      <c r="J58" s="532"/>
      <c r="K58" s="531"/>
      <c r="L58" s="531"/>
      <c r="M58" s="531"/>
      <c r="N58" s="709"/>
      <c r="O58" s="710"/>
      <c r="P58" s="34"/>
      <c r="Q58" s="491">
        <f>[1]Tab!A11</f>
        <v>50000.01</v>
      </c>
      <c r="R58" s="492">
        <f>[1]Tab!D11</f>
        <v>0</v>
      </c>
      <c r="S58" s="493">
        <f>S47</f>
        <v>0.43</v>
      </c>
      <c r="T58" s="494"/>
      <c r="U58" s="494">
        <f>ROUND(IF(AND($C$52&lt;=R58,$C$52&gt;=Q58),T57+($C$52-R57)*S58,0),2)</f>
        <v>0</v>
      </c>
      <c r="V58" s="34"/>
      <c r="W58" s="34"/>
      <c r="X58" s="34"/>
      <c r="Y58" s="34"/>
      <c r="Z58" s="34"/>
    </row>
    <row r="59" spans="1:26" ht="12" customHeight="1" x14ac:dyDescent="0.2">
      <c r="A59" s="154" t="s">
        <v>123</v>
      </c>
      <c r="B59" s="488"/>
      <c r="C59" s="513"/>
      <c r="D59" s="175" t="s">
        <v>41</v>
      </c>
      <c r="E59" s="758">
        <f>-'10'!H59</f>
        <v>0</v>
      </c>
      <c r="F59" s="759"/>
      <c r="G59" s="175" t="s">
        <v>42</v>
      </c>
      <c r="H59" s="440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34"/>
      <c r="Q59" s="491">
        <f>[1]Tab!A12</f>
        <v>0</v>
      </c>
      <c r="R59" s="492"/>
      <c r="S59" s="493">
        <f>S48</f>
        <v>0</v>
      </c>
      <c r="T59" s="500"/>
      <c r="U59" s="494">
        <f>ROUND(IF($C$52&gt;R58,T58+($C$52-R58)*S59,0),2)</f>
        <v>0</v>
      </c>
      <c r="V59" s="34"/>
      <c r="W59" s="34"/>
      <c r="X59" s="34"/>
      <c r="Y59" s="34"/>
      <c r="Z59" s="34"/>
    </row>
    <row r="60" spans="1:26" ht="12" customHeight="1" x14ac:dyDescent="0.2">
      <c r="A60" s="427" t="s">
        <v>43</v>
      </c>
      <c r="B60" s="514"/>
      <c r="C60" s="514"/>
      <c r="D60" s="514"/>
      <c r="E60" s="514"/>
      <c r="F60" s="514"/>
      <c r="G60" s="514"/>
      <c r="H60" s="514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502" t="s">
        <v>8</v>
      </c>
      <c r="R60" s="503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459"/>
      <c r="B61" s="459"/>
      <c r="C61" s="459"/>
      <c r="D61" s="459"/>
      <c r="E61" s="459"/>
      <c r="F61" s="459"/>
      <c r="G61" s="459"/>
      <c r="H61" s="459"/>
      <c r="I61" s="459"/>
      <c r="K61" s="516"/>
      <c r="L61" s="516"/>
      <c r="M61" s="516"/>
      <c r="Q61" s="515">
        <f ca="1">SUM(I53:I58,E59)</f>
        <v>0</v>
      </c>
    </row>
    <row r="62" spans="1:26" x14ac:dyDescent="0.2">
      <c r="Q62" s="515"/>
    </row>
    <row r="63" spans="1:26" ht="15.75" customHeight="1" x14ac:dyDescent="0.2">
      <c r="Q63" s="515"/>
    </row>
    <row r="64" spans="1:26" x14ac:dyDescent="0.2">
      <c r="A64" s="108" t="str">
        <f>'[1]Beschr-Descr.'!A1</f>
        <v xml:space="preserve">Beschreibung Lohnelemente  </v>
      </c>
      <c r="B64" s="486"/>
      <c r="C64" s="486"/>
      <c r="D64" s="486"/>
      <c r="E64" s="486"/>
      <c r="F64" s="486"/>
      <c r="G64" s="486"/>
      <c r="Q64" s="515"/>
    </row>
    <row r="65" spans="1:7" x14ac:dyDescent="0.2">
      <c r="A65" s="108" t="str">
        <f>'[1]Beschr-Descr.'!A2</f>
        <v>Descrizione elementi di retribuzione</v>
      </c>
      <c r="B65" s="486"/>
      <c r="C65" s="486"/>
      <c r="D65" s="486"/>
      <c r="E65" s="486"/>
      <c r="F65" s="108" t="s">
        <v>3</v>
      </c>
      <c r="G65" s="486"/>
    </row>
    <row r="66" spans="1:7" x14ac:dyDescent="0.2">
      <c r="A66" s="486">
        <f>'[1]Beschr-Descr.'!A3</f>
        <v>0</v>
      </c>
      <c r="B66" s="486">
        <f>'[1]Beschr-Descr.'!B3</f>
        <v>0</v>
      </c>
      <c r="C66" s="486">
        <f>'[1]Beschr-Descr.'!C3</f>
        <v>0</v>
      </c>
      <c r="D66" s="486">
        <f>'[1]Beschr-Descr.'!D3</f>
        <v>0</v>
      </c>
      <c r="E66" s="486">
        <f>'[1]Beschr-Descr.'!E3</f>
        <v>0</v>
      </c>
      <c r="F66" s="486"/>
      <c r="G66" s="486"/>
    </row>
    <row r="67" spans="1:7" x14ac:dyDescent="0.2">
      <c r="A67" s="486" t="str">
        <f>'[1]Beschr-Descr.'!A4</f>
        <v>Normalentlohnung</v>
      </c>
      <c r="B67" s="517"/>
      <c r="C67" s="517">
        <f>'[1]Beschr-Descr.'!C4</f>
        <v>0</v>
      </c>
      <c r="D67" s="517">
        <f>'[1]Beschr-Descr.'!D4</f>
        <v>0</v>
      </c>
      <c r="E67" s="296">
        <f>'[1]Beschr-Descr.'!E4</f>
        <v>0</v>
      </c>
      <c r="F67" s="486" t="s">
        <v>44</v>
      </c>
      <c r="G67" s="486"/>
    </row>
    <row r="68" spans="1:7" x14ac:dyDescent="0.2">
      <c r="A68" s="486" t="str">
        <f>'[1]Beschr-Descr.'!A5</f>
        <v>Genossener Urlaub</v>
      </c>
      <c r="B68" s="517"/>
      <c r="C68" s="517">
        <f>'[1]Beschr-Descr.'!C5</f>
        <v>0</v>
      </c>
      <c r="D68" s="517">
        <f>'[1]Beschr-Descr.'!D5</f>
        <v>0</v>
      </c>
      <c r="E68" s="296">
        <f>'[1]Beschr-Descr.'!E5</f>
        <v>0</v>
      </c>
      <c r="F68" s="486" t="s">
        <v>45</v>
      </c>
      <c r="G68" s="486"/>
    </row>
    <row r="69" spans="1:7" x14ac:dyDescent="0.2">
      <c r="A69" s="486" t="str">
        <f>'[1]Beschr-Descr.'!A6</f>
        <v>Genossene Freistellungen</v>
      </c>
      <c r="B69" s="517"/>
      <c r="C69" s="517">
        <f>'[1]Beschr-Descr.'!C6</f>
        <v>0</v>
      </c>
      <c r="D69" s="517">
        <f>'[1]Beschr-Descr.'!D6</f>
        <v>0</v>
      </c>
      <c r="E69" s="296">
        <f>'[1]Beschr-Descr.'!E6</f>
        <v>0</v>
      </c>
      <c r="F69" s="486" t="s">
        <v>46</v>
      </c>
      <c r="G69" s="486"/>
    </row>
    <row r="70" spans="1:7" x14ac:dyDescent="0.2">
      <c r="A70" s="486" t="str">
        <f>'[1]Beschr-Descr.'!A7</f>
        <v>Nicht genossener Urlaub</v>
      </c>
      <c r="B70" s="517"/>
      <c r="C70" s="517">
        <f>'[1]Beschr-Descr.'!C7</f>
        <v>0</v>
      </c>
      <c r="D70" s="517">
        <f>'[1]Beschr-Descr.'!D7</f>
        <v>0</v>
      </c>
      <c r="E70" s="296">
        <f>'[1]Beschr-Descr.'!E7</f>
        <v>0</v>
      </c>
      <c r="F70" s="486"/>
      <c r="G70" s="486"/>
    </row>
    <row r="71" spans="1:7" x14ac:dyDescent="0.2">
      <c r="A71" s="486" t="str">
        <f>'[1]Beschr-Descr.'!A8</f>
        <v>Nicht genossene Freistellungen</v>
      </c>
      <c r="B71" s="517"/>
      <c r="C71" s="517">
        <f>'[1]Beschr-Descr.'!C8</f>
        <v>0</v>
      </c>
      <c r="D71" s="517">
        <f>'[1]Beschr-Descr.'!D8</f>
        <v>0</v>
      </c>
      <c r="E71" s="296">
        <f>'[1]Beschr-Descr.'!E8</f>
        <v>0</v>
      </c>
      <c r="F71" s="486"/>
      <c r="G71" s="486"/>
    </row>
    <row r="72" spans="1:7" x14ac:dyDescent="0.2">
      <c r="A72" s="486" t="str">
        <f>'[1]Beschr-Descr.'!A9</f>
        <v>Nicht genossene Feiertage</v>
      </c>
      <c r="B72" s="517"/>
      <c r="C72" s="517">
        <f>'[1]Beschr-Descr.'!C9</f>
        <v>0</v>
      </c>
      <c r="D72" s="517">
        <f>'[1]Beschr-Descr.'!D9</f>
        <v>0</v>
      </c>
      <c r="E72" s="296">
        <f>'[1]Beschr-Descr.'!E9</f>
        <v>0</v>
      </c>
      <c r="F72" s="486"/>
      <c r="G72" s="486"/>
    </row>
    <row r="73" spans="1:7" x14ac:dyDescent="0.2">
      <c r="A73" s="486" t="str">
        <f>'[1]Beschr-Descr.'!A10</f>
        <v>Zulage für Kassarisiko</v>
      </c>
      <c r="B73" s="517"/>
      <c r="C73" s="517">
        <f>'[1]Beschr-Descr.'!C10</f>
        <v>0</v>
      </c>
      <c r="D73" s="517">
        <f>'[1]Beschr-Descr.'!D10</f>
        <v>0</v>
      </c>
      <c r="E73" s="296">
        <f>'[1]Beschr-Descr.'!E10</f>
        <v>0</v>
      </c>
      <c r="F73" s="486"/>
      <c r="G73" s="486"/>
    </row>
    <row r="74" spans="1:7" x14ac:dyDescent="0.2">
      <c r="A74" s="486">
        <f>'[1]Beschr-Descr.'!A11</f>
        <v>0</v>
      </c>
      <c r="B74" s="517"/>
      <c r="C74" s="517">
        <f>'[1]Beschr-Descr.'!C11</f>
        <v>0</v>
      </c>
      <c r="D74" s="517">
        <f>'[1]Beschr-Descr.'!D11</f>
        <v>0</v>
      </c>
      <c r="E74" s="296">
        <f>'[1]Beschr-Descr.'!E11</f>
        <v>0</v>
      </c>
      <c r="F74" s="486"/>
      <c r="G74" s="486"/>
    </row>
    <row r="75" spans="1:7" x14ac:dyDescent="0.2">
      <c r="A75" s="486" t="str">
        <f>'[1]Beschr-Descr.'!A12</f>
        <v xml:space="preserve">Überstunden 15%  </v>
      </c>
      <c r="B75" s="517"/>
      <c r="C75" s="517">
        <f>'[1]Beschr-Descr.'!C12</f>
        <v>0</v>
      </c>
      <c r="D75" s="517">
        <f>'[1]Beschr-Descr.'!D12</f>
        <v>0</v>
      </c>
      <c r="E75" s="296">
        <f>'[1]Beschr-Descr.'!E12</f>
        <v>0.15</v>
      </c>
      <c r="F75" s="486"/>
      <c r="G75" s="486"/>
    </row>
    <row r="76" spans="1:7" x14ac:dyDescent="0.2">
      <c r="A76" s="486" t="str">
        <f>'[1]Beschr-Descr.'!A13</f>
        <v xml:space="preserve">Überstunden 20%  </v>
      </c>
      <c r="B76" s="517"/>
      <c r="C76" s="517">
        <f>'[1]Beschr-Descr.'!C13</f>
        <v>0</v>
      </c>
      <c r="D76" s="517">
        <f>'[1]Beschr-Descr.'!D13</f>
        <v>0</v>
      </c>
      <c r="E76" s="296">
        <f>'[1]Beschr-Descr.'!E13</f>
        <v>0.2</v>
      </c>
      <c r="F76" s="486"/>
      <c r="G76" s="486"/>
    </row>
    <row r="77" spans="1:7" x14ac:dyDescent="0.2">
      <c r="A77" s="486" t="str">
        <f>'[1]Beschr-Descr.'!A14</f>
        <v xml:space="preserve">Überstunden 30%  </v>
      </c>
      <c r="B77" s="517"/>
      <c r="C77" s="517">
        <f>'[1]Beschr-Descr.'!C14</f>
        <v>0</v>
      </c>
      <c r="D77" s="517">
        <f>'[1]Beschr-Descr.'!D14</f>
        <v>0</v>
      </c>
      <c r="E77" s="296">
        <f>'[1]Beschr-Descr.'!E14</f>
        <v>0.3</v>
      </c>
      <c r="F77" s="486"/>
      <c r="G77" s="486"/>
    </row>
    <row r="78" spans="1:7" x14ac:dyDescent="0.2">
      <c r="A78" s="486" t="str">
        <f>'[1]Beschr-Descr.'!A15</f>
        <v xml:space="preserve">Überstunden 50%  </v>
      </c>
      <c r="B78" s="517"/>
      <c r="C78" s="517">
        <f>'[1]Beschr-Descr.'!C15</f>
        <v>0</v>
      </c>
      <c r="D78" s="517">
        <f>'[1]Beschr-Descr.'!D15</f>
        <v>0</v>
      </c>
      <c r="E78" s="296">
        <f>'[1]Beschr-Descr.'!E15</f>
        <v>0.5</v>
      </c>
      <c r="F78" s="486"/>
      <c r="G78" s="486"/>
    </row>
    <row r="79" spans="1:7" x14ac:dyDescent="0.2">
      <c r="A79" s="486" t="str">
        <f>'[1]Beschr-Descr.'!A16</f>
        <v>Nachtstunden 50%</v>
      </c>
      <c r="B79" s="517"/>
      <c r="C79" s="517">
        <f>'[1]Beschr-Descr.'!C16</f>
        <v>0</v>
      </c>
      <c r="D79" s="517">
        <f>'[1]Beschr-Descr.'!D16</f>
        <v>0</v>
      </c>
      <c r="E79" s="296">
        <f>'[1]Beschr-Descr.'!E16</f>
        <v>0.5</v>
      </c>
      <c r="F79" s="486"/>
      <c r="G79" s="486"/>
    </row>
    <row r="80" spans="1:7" x14ac:dyDescent="0.2">
      <c r="A80" s="486">
        <f>'[1]Beschr-Descr.'!A17</f>
        <v>0</v>
      </c>
      <c r="B80" s="517"/>
      <c r="C80" s="517">
        <f>'[1]Beschr-Descr.'!C17</f>
        <v>0</v>
      </c>
      <c r="D80" s="517">
        <f>'[1]Beschr-Descr.'!D17</f>
        <v>0</v>
      </c>
      <c r="E80" s="296">
        <f>'[1]Beschr-Descr.'!E17</f>
        <v>0</v>
      </c>
      <c r="F80" s="486"/>
      <c r="G80" s="486"/>
    </row>
    <row r="81" spans="1:7" x14ac:dyDescent="0.2">
      <c r="A81" s="486" t="str">
        <f>'[1]Beschr-Descr.'!A18</f>
        <v>Krankheit gesamt</v>
      </c>
      <c r="B81" s="517"/>
      <c r="C81" s="517">
        <f>'[1]Beschr-Descr.'!C18</f>
        <v>0</v>
      </c>
      <c r="D81" s="517">
        <f>'[1]Beschr-Descr.'!D18</f>
        <v>0</v>
      </c>
      <c r="E81" s="296">
        <f>'[1]Beschr-Descr.'!E18</f>
        <v>0</v>
      </c>
      <c r="F81" s="486"/>
      <c r="G81" s="486"/>
    </row>
    <row r="82" spans="1:7" x14ac:dyDescent="0.2">
      <c r="A82" s="486" t="str">
        <f>'[1]Beschr-Descr.'!A19</f>
        <v xml:space="preserve">Krankheit INPS-Anteil 50,00% </v>
      </c>
      <c r="B82" s="517"/>
      <c r="C82" s="517">
        <f>'[1]Beschr-Descr.'!C19</f>
        <v>0</v>
      </c>
      <c r="D82" s="517">
        <f>'[1]Beschr-Descr.'!D19</f>
        <v>0</v>
      </c>
      <c r="E82" s="296">
        <f>'[1]Beschr-Descr.'!E19</f>
        <v>-0.5</v>
      </c>
      <c r="F82" s="486"/>
      <c r="G82" s="486"/>
    </row>
    <row r="83" spans="1:7" x14ac:dyDescent="0.2">
      <c r="A83" s="486" t="str">
        <f>'[1]Beschr-Descr.'!A20</f>
        <v xml:space="preserve">Krankheit INPS-Anteil 66,67% </v>
      </c>
      <c r="B83" s="517"/>
      <c r="C83" s="517">
        <f>'[1]Beschr-Descr.'!C20</f>
        <v>0</v>
      </c>
      <c r="D83" s="517">
        <f>'[1]Beschr-Descr.'!D20</f>
        <v>0</v>
      </c>
      <c r="E83" s="296">
        <f>'[1]Beschr-Descr.'!E20</f>
        <v>-0.66669999999999996</v>
      </c>
      <c r="F83" s="486"/>
      <c r="G83" s="486"/>
    </row>
    <row r="84" spans="1:7" x14ac:dyDescent="0.2">
      <c r="A84" s="486" t="str">
        <f>'[1]Beschr-Descr.'!A21</f>
        <v>Mutterschaft Gesamtbetrag</v>
      </c>
      <c r="B84" s="517"/>
      <c r="C84" s="517">
        <f>'[1]Beschr-Descr.'!C21</f>
        <v>0</v>
      </c>
      <c r="D84" s="517">
        <f>'[1]Beschr-Descr.'!D21</f>
        <v>0</v>
      </c>
      <c r="E84" s="296">
        <f>'[1]Beschr-Descr.'!E21</f>
        <v>0</v>
      </c>
      <c r="F84" s="486"/>
      <c r="G84" s="486"/>
    </row>
    <row r="85" spans="1:7" x14ac:dyDescent="0.2">
      <c r="A85" s="486" t="str">
        <f>'[1]Beschr-Descr.'!A22</f>
        <v>Mutterschaft INPS-Anteil 80,00%</v>
      </c>
      <c r="B85" s="517"/>
      <c r="C85" s="517">
        <f>'[1]Beschr-Descr.'!C22</f>
        <v>0</v>
      </c>
      <c r="D85" s="517">
        <f>'[1]Beschr-Descr.'!D22</f>
        <v>0</v>
      </c>
      <c r="E85" s="296">
        <f>'[1]Beschr-Descr.'!E22</f>
        <v>-0.8</v>
      </c>
      <c r="F85" s="486"/>
      <c r="G85" s="486"/>
    </row>
    <row r="86" spans="1:7" x14ac:dyDescent="0.2">
      <c r="A86" s="486" t="str">
        <f>'[1]Beschr-Descr.'!A23</f>
        <v>Abzug Bruttoberechnung Krankengeld INPS</v>
      </c>
      <c r="B86" s="517"/>
      <c r="C86" s="517">
        <f>'[1]Beschr-Descr.'!C23</f>
        <v>0</v>
      </c>
      <c r="D86" s="517">
        <f>'[1]Beschr-Descr.'!D23</f>
        <v>0</v>
      </c>
      <c r="E86" s="296">
        <f>'[1]Beschr-Descr.'!E23</f>
        <v>0.10120030833608633</v>
      </c>
      <c r="F86" s="486"/>
      <c r="G86" s="486"/>
    </row>
    <row r="87" spans="1:7" x14ac:dyDescent="0.2">
      <c r="A87" s="486">
        <f>'[1]Beschr-Descr.'!A24</f>
        <v>0</v>
      </c>
      <c r="B87" s="517"/>
      <c r="C87" s="517">
        <f>'[1]Beschr-Descr.'!C24</f>
        <v>0</v>
      </c>
      <c r="D87" s="517">
        <f>'[1]Beschr-Descr.'!D24</f>
        <v>0</v>
      </c>
      <c r="E87" s="296">
        <f>'[1]Beschr-Descr.'!E24</f>
        <v>0</v>
      </c>
      <c r="F87" s="486"/>
      <c r="G87" s="486"/>
    </row>
    <row r="88" spans="1:7" x14ac:dyDescent="0.2">
      <c r="A88" s="486" t="str">
        <f>'[1]Beschr-Descr.'!A25</f>
        <v xml:space="preserve">13. Monatsgehalt  </v>
      </c>
      <c r="B88" s="517"/>
      <c r="C88" s="517">
        <f>'[1]Beschr-Descr.'!C25</f>
        <v>0</v>
      </c>
      <c r="D88" s="517">
        <f>'[1]Beschr-Descr.'!D25</f>
        <v>0</v>
      </c>
      <c r="E88" s="296">
        <f>'[1]Beschr-Descr.'!E25</f>
        <v>0</v>
      </c>
      <c r="F88" s="486"/>
      <c r="G88" s="486"/>
    </row>
    <row r="89" spans="1:7" x14ac:dyDescent="0.2">
      <c r="A89" s="486" t="str">
        <f>'[1]Beschr-Descr.'!A26</f>
        <v xml:space="preserve">14. Monatsgehalt  </v>
      </c>
      <c r="B89" s="517"/>
      <c r="C89" s="517">
        <f>'[1]Beschr-Descr.'!C26</f>
        <v>0</v>
      </c>
      <c r="D89" s="517">
        <f>'[1]Beschr-Descr.'!D26</f>
        <v>0</v>
      </c>
      <c r="E89" s="296">
        <f>'[1]Beschr-Descr.'!E26</f>
        <v>0</v>
      </c>
      <c r="F89" s="486"/>
      <c r="G89" s="486"/>
    </row>
    <row r="90" spans="1:7" x14ac:dyDescent="0.2">
      <c r="A90" s="486" t="str">
        <f>'[1]Beschr-Descr.'!A27</f>
        <v xml:space="preserve">Nichteinhaltung Kündigungsfrist  </v>
      </c>
      <c r="B90" s="517"/>
      <c r="C90" s="517">
        <f>'[1]Beschr-Descr.'!C27</f>
        <v>0</v>
      </c>
      <c r="D90" s="517">
        <f>'[1]Beschr-Descr.'!D27</f>
        <v>0</v>
      </c>
      <c r="E90" s="296">
        <f>'[1]Beschr-Descr.'!E27</f>
        <v>0</v>
      </c>
      <c r="F90" s="486"/>
      <c r="G90" s="486"/>
    </row>
    <row r="91" spans="1:7" x14ac:dyDescent="0.2">
      <c r="A91" s="486" t="str">
        <f>'[1]Beschr-Descr.'!A28</f>
        <v>Una Tantum</v>
      </c>
      <c r="B91" s="517"/>
      <c r="C91" s="517">
        <f>'[1]Beschr-Descr.'!C28</f>
        <v>0</v>
      </c>
      <c r="D91" s="517">
        <f>'[1]Beschr-Descr.'!D28</f>
        <v>0</v>
      </c>
      <c r="E91" s="296">
        <f>'[1]Beschr-Descr.'!E28</f>
        <v>0</v>
      </c>
      <c r="F91" s="486"/>
      <c r="G91" s="486"/>
    </row>
    <row r="92" spans="1:7" x14ac:dyDescent="0.2">
      <c r="A92" s="486" t="str">
        <f>'[1]Beschr-Descr.'!A29</f>
        <v>Prämie</v>
      </c>
      <c r="B92" s="517"/>
      <c r="C92" s="517">
        <f>'[1]Beschr-Descr.'!C29</f>
        <v>0</v>
      </c>
      <c r="D92" s="517">
        <f>'[1]Beschr-Descr.'!D29</f>
        <v>0</v>
      </c>
      <c r="E92" s="296">
        <f>'[1]Beschr-Descr.'!E29</f>
        <v>0</v>
      </c>
      <c r="F92" s="486"/>
      <c r="G92" s="486"/>
    </row>
    <row r="93" spans="1:7" x14ac:dyDescent="0.2">
      <c r="A93" s="486">
        <f>'[1]Beschr-Descr.'!A30</f>
        <v>0</v>
      </c>
      <c r="B93" s="517"/>
      <c r="C93" s="517">
        <f>'[1]Beschr-Descr.'!C30</f>
        <v>0</v>
      </c>
      <c r="D93" s="517">
        <f>'[1]Beschr-Descr.'!D30</f>
        <v>0</v>
      </c>
      <c r="E93" s="296">
        <f>'[1]Beschr-Descr.'!E30</f>
        <v>0</v>
      </c>
      <c r="F93" s="486"/>
      <c r="G93" s="486"/>
    </row>
    <row r="94" spans="1:7" x14ac:dyDescent="0.2">
      <c r="A94" s="486">
        <f>'[1]Beschr-Descr.'!A31</f>
        <v>0</v>
      </c>
      <c r="B94" s="517"/>
      <c r="C94" s="517">
        <f>'[1]Beschr-Descr.'!C31</f>
        <v>0</v>
      </c>
      <c r="D94" s="517">
        <f>'[1]Beschr-Descr.'!D31</f>
        <v>0</v>
      </c>
      <c r="E94" s="296">
        <f>'[1]Beschr-Descr.'!E31</f>
        <v>0</v>
      </c>
      <c r="F94" s="486"/>
      <c r="G94" s="486"/>
    </row>
    <row r="95" spans="1:7" x14ac:dyDescent="0.2">
      <c r="A95" s="486" t="str">
        <f>'[1]Beschr-Descr.'!A32</f>
        <v xml:space="preserve">Retribuzione ordinaria </v>
      </c>
      <c r="B95" s="517"/>
      <c r="C95" s="517">
        <f>'[1]Beschr-Descr.'!C32</f>
        <v>0</v>
      </c>
      <c r="D95" s="517">
        <f>'[1]Beschr-Descr.'!D32</f>
        <v>0</v>
      </c>
      <c r="E95" s="296">
        <f>'[1]Beschr-Descr.'!E32</f>
        <v>0</v>
      </c>
      <c r="F95" s="486"/>
      <c r="G95" s="486"/>
    </row>
    <row r="96" spans="1:7" x14ac:dyDescent="0.2">
      <c r="A96" s="486" t="str">
        <f>'[1]Beschr-Descr.'!A33</f>
        <v>Ferie godute</v>
      </c>
      <c r="B96" s="517"/>
      <c r="C96" s="517">
        <f>'[1]Beschr-Descr.'!C33</f>
        <v>0</v>
      </c>
      <c r="D96" s="517">
        <f>'[1]Beschr-Descr.'!D33</f>
        <v>0</v>
      </c>
      <c r="E96" s="296">
        <f>'[1]Beschr-Descr.'!E33</f>
        <v>0</v>
      </c>
      <c r="F96" s="486"/>
      <c r="G96" s="486"/>
    </row>
    <row r="97" spans="1:7" x14ac:dyDescent="0.2">
      <c r="A97" s="486" t="str">
        <f>'[1]Beschr-Descr.'!A34</f>
        <v>Permessi goduti</v>
      </c>
      <c r="B97" s="517"/>
      <c r="C97" s="517">
        <f>'[1]Beschr-Descr.'!C34</f>
        <v>0</v>
      </c>
      <c r="D97" s="517">
        <f>'[1]Beschr-Descr.'!D34</f>
        <v>0</v>
      </c>
      <c r="E97" s="296">
        <f>'[1]Beschr-Descr.'!E34</f>
        <v>0</v>
      </c>
      <c r="F97" s="486"/>
      <c r="G97" s="486"/>
    </row>
    <row r="98" spans="1:7" x14ac:dyDescent="0.2">
      <c r="A98" s="486" t="str">
        <f>'[1]Beschr-Descr.'!A35</f>
        <v>Ferie non godute</v>
      </c>
      <c r="B98" s="517"/>
      <c r="C98" s="517">
        <f>'[1]Beschr-Descr.'!C35</f>
        <v>0</v>
      </c>
      <c r="D98" s="517">
        <f>'[1]Beschr-Descr.'!D35</f>
        <v>0</v>
      </c>
      <c r="E98" s="296">
        <f>'[1]Beschr-Descr.'!E35</f>
        <v>0</v>
      </c>
      <c r="F98" s="486"/>
      <c r="G98" s="486"/>
    </row>
    <row r="99" spans="1:7" x14ac:dyDescent="0.2">
      <c r="A99" s="486" t="str">
        <f>'[1]Beschr-Descr.'!A36</f>
        <v>Ferie non godute</v>
      </c>
      <c r="B99" s="517"/>
      <c r="C99" s="517">
        <f>'[1]Beschr-Descr.'!C36</f>
        <v>0</v>
      </c>
      <c r="D99" s="517">
        <f>'[1]Beschr-Descr.'!D36</f>
        <v>0</v>
      </c>
      <c r="E99" s="296">
        <f>'[1]Beschr-Descr.'!E36</f>
        <v>0</v>
      </c>
      <c r="F99" s="486"/>
      <c r="G99" s="486"/>
    </row>
    <row r="100" spans="1:7" x14ac:dyDescent="0.2">
      <c r="A100" s="486" t="str">
        <f>'[1]Beschr-Descr.'!A37</f>
        <v>Festività non godute</v>
      </c>
      <c r="B100" s="517"/>
      <c r="C100" s="517">
        <f>'[1]Beschr-Descr.'!C37</f>
        <v>0</v>
      </c>
      <c r="D100" s="517">
        <f>'[1]Beschr-Descr.'!D37</f>
        <v>0</v>
      </c>
      <c r="E100" s="296">
        <f>'[1]Beschr-Descr.'!E37</f>
        <v>0</v>
      </c>
      <c r="F100" s="486"/>
      <c r="G100" s="486"/>
    </row>
    <row r="101" spans="1:7" x14ac:dyDescent="0.2">
      <c r="A101" s="486" t="str">
        <f>'[1]Beschr-Descr.'!A38</f>
        <v>Indennità rischio cassa</v>
      </c>
      <c r="B101" s="517"/>
      <c r="C101" s="517">
        <f>'[1]Beschr-Descr.'!C38</f>
        <v>0</v>
      </c>
      <c r="D101" s="517">
        <f>'[1]Beschr-Descr.'!D38</f>
        <v>0</v>
      </c>
      <c r="E101" s="296">
        <f>'[1]Beschr-Descr.'!E38</f>
        <v>0</v>
      </c>
      <c r="F101" s="486"/>
      <c r="G101" s="486"/>
    </row>
    <row r="102" spans="1:7" x14ac:dyDescent="0.2">
      <c r="A102" s="486">
        <f>'[1]Beschr-Descr.'!A39</f>
        <v>0</v>
      </c>
      <c r="B102" s="517"/>
      <c r="C102" s="517">
        <f>'[1]Beschr-Descr.'!C39</f>
        <v>0</v>
      </c>
      <c r="D102" s="517">
        <f>'[1]Beschr-Descr.'!D39</f>
        <v>0</v>
      </c>
      <c r="E102" s="296">
        <f>'[1]Beschr-Descr.'!E39</f>
        <v>0</v>
      </c>
      <c r="F102" s="486"/>
      <c r="G102" s="486"/>
    </row>
    <row r="103" spans="1:7" x14ac:dyDescent="0.2">
      <c r="A103" s="486" t="str">
        <f>'[1]Beschr-Descr.'!A40</f>
        <v>Ore straordinarie 15%</v>
      </c>
      <c r="B103" s="517"/>
      <c r="C103" s="517">
        <f>'[1]Beschr-Descr.'!C40</f>
        <v>0</v>
      </c>
      <c r="D103" s="517">
        <f>'[1]Beschr-Descr.'!D40</f>
        <v>0</v>
      </c>
      <c r="E103" s="296">
        <f>'[1]Beschr-Descr.'!E40</f>
        <v>0.15</v>
      </c>
      <c r="F103" s="486"/>
      <c r="G103" s="486"/>
    </row>
    <row r="104" spans="1:7" x14ac:dyDescent="0.2">
      <c r="A104" s="486" t="str">
        <f>'[1]Beschr-Descr.'!A41</f>
        <v>Ore straordinarie 20%</v>
      </c>
      <c r="B104" s="517"/>
      <c r="C104" s="517">
        <f>'[1]Beschr-Descr.'!C41</f>
        <v>0</v>
      </c>
      <c r="D104" s="517">
        <f>'[1]Beschr-Descr.'!D41</f>
        <v>0</v>
      </c>
      <c r="E104" s="296">
        <f>'[1]Beschr-Descr.'!E41</f>
        <v>0.2</v>
      </c>
      <c r="F104" s="486"/>
      <c r="G104" s="486"/>
    </row>
    <row r="105" spans="1:7" x14ac:dyDescent="0.2">
      <c r="A105" s="486" t="str">
        <f>'[1]Beschr-Descr.'!A42</f>
        <v>Ore straordinarie 30%</v>
      </c>
      <c r="B105" s="517"/>
      <c r="C105" s="517">
        <f>'[1]Beschr-Descr.'!C42</f>
        <v>0</v>
      </c>
      <c r="D105" s="517">
        <f>'[1]Beschr-Descr.'!D42</f>
        <v>0</v>
      </c>
      <c r="E105" s="296">
        <f>'[1]Beschr-Descr.'!E42</f>
        <v>0.3</v>
      </c>
      <c r="F105" s="486"/>
      <c r="G105" s="486"/>
    </row>
    <row r="106" spans="1:7" x14ac:dyDescent="0.2">
      <c r="A106" s="486" t="str">
        <f>'[1]Beschr-Descr.'!A43</f>
        <v>Ore straordinarie 50%</v>
      </c>
      <c r="B106" s="517"/>
      <c r="C106" s="517">
        <f>'[1]Beschr-Descr.'!C43</f>
        <v>0</v>
      </c>
      <c r="D106" s="517">
        <f>'[1]Beschr-Descr.'!D43</f>
        <v>0</v>
      </c>
      <c r="E106" s="296">
        <f>'[1]Beschr-Descr.'!E43</f>
        <v>0.5</v>
      </c>
      <c r="F106" s="486"/>
      <c r="G106" s="486"/>
    </row>
    <row r="107" spans="1:7" x14ac:dyDescent="0.2">
      <c r="A107" s="486" t="str">
        <f>'[1]Beschr-Descr.'!A44</f>
        <v>Ore notturne 50%</v>
      </c>
      <c r="B107" s="517"/>
      <c r="C107" s="517">
        <f>'[1]Beschr-Descr.'!C44</f>
        <v>0</v>
      </c>
      <c r="D107" s="517">
        <f>'[1]Beschr-Descr.'!D44</f>
        <v>0</v>
      </c>
      <c r="E107" s="296">
        <f>'[1]Beschr-Descr.'!E44</f>
        <v>0.5</v>
      </c>
      <c r="F107" s="486"/>
      <c r="G107" s="486"/>
    </row>
    <row r="108" spans="1:7" x14ac:dyDescent="0.2">
      <c r="A108" s="486">
        <f>'[1]Beschr-Descr.'!A45</f>
        <v>0</v>
      </c>
      <c r="B108" s="517"/>
      <c r="C108" s="517">
        <f>'[1]Beschr-Descr.'!C45</f>
        <v>0</v>
      </c>
      <c r="D108" s="517">
        <f>'[1]Beschr-Descr.'!D45</f>
        <v>0</v>
      </c>
      <c r="E108" s="296">
        <f>'[1]Beschr-Descr.'!E45</f>
        <v>0</v>
      </c>
      <c r="F108" s="486"/>
      <c r="G108" s="486"/>
    </row>
    <row r="109" spans="1:7" x14ac:dyDescent="0.2">
      <c r="A109" s="486" t="str">
        <f>'[1]Beschr-Descr.'!A46</f>
        <v>Indennità di malattia totale</v>
      </c>
      <c r="B109" s="517"/>
      <c r="C109" s="517">
        <f>'[1]Beschr-Descr.'!C46</f>
        <v>0</v>
      </c>
      <c r="D109" s="517">
        <f>'[1]Beschr-Descr.'!D46</f>
        <v>0</v>
      </c>
      <c r="E109" s="296">
        <f>'[1]Beschr-Descr.'!E46</f>
        <v>0</v>
      </c>
      <c r="F109" s="486"/>
      <c r="G109" s="486"/>
    </row>
    <row r="110" spans="1:7" x14ac:dyDescent="0.2">
      <c r="A110" s="486" t="str">
        <f>'[1]Beschr-Descr.'!A47</f>
        <v>Indennità di malattia quota INPS 50%</v>
      </c>
      <c r="B110" s="517"/>
      <c r="C110" s="517">
        <f>'[1]Beschr-Descr.'!C47</f>
        <v>0</v>
      </c>
      <c r="D110" s="517">
        <f>'[1]Beschr-Descr.'!D47</f>
        <v>0</v>
      </c>
      <c r="E110" s="296">
        <f>'[1]Beschr-Descr.'!E47</f>
        <v>-0.5</v>
      </c>
      <c r="F110" s="486"/>
      <c r="G110" s="486"/>
    </row>
    <row r="111" spans="1:7" x14ac:dyDescent="0.2">
      <c r="A111" s="486" t="str">
        <f>'[1]Beschr-Descr.'!A48</f>
        <v>Indennità di malattia quota INPS 66,67%</v>
      </c>
      <c r="B111" s="517"/>
      <c r="C111" s="517">
        <f>'[1]Beschr-Descr.'!C48</f>
        <v>0</v>
      </c>
      <c r="D111" s="517">
        <f>'[1]Beschr-Descr.'!D48</f>
        <v>0</v>
      </c>
      <c r="E111" s="296">
        <f>'[1]Beschr-Descr.'!E48</f>
        <v>-0.66669999999999996</v>
      </c>
      <c r="F111" s="486"/>
      <c r="G111" s="486"/>
    </row>
    <row r="112" spans="1:7" x14ac:dyDescent="0.2">
      <c r="A112" s="486" t="str">
        <f>'[1]Beschr-Descr.'!A49</f>
        <v>Indennità di maternità importo totale</v>
      </c>
      <c r="B112" s="517"/>
      <c r="C112" s="517">
        <f>'[1]Beschr-Descr.'!C49</f>
        <v>0</v>
      </c>
      <c r="D112" s="517">
        <f>'[1]Beschr-Descr.'!D49</f>
        <v>0</v>
      </c>
      <c r="E112" s="296">
        <f>'[1]Beschr-Descr.'!E49</f>
        <v>0</v>
      </c>
      <c r="F112" s="486"/>
      <c r="G112" s="486"/>
    </row>
    <row r="113" spans="1:7" x14ac:dyDescent="0.2">
      <c r="A113" s="486" t="str">
        <f>'[1]Beschr-Descr.'!A50</f>
        <v>Indennità di maternità quota INPS 80,00%</v>
      </c>
      <c r="B113" s="517"/>
      <c r="C113" s="517">
        <f>'[1]Beschr-Descr.'!C50</f>
        <v>0</v>
      </c>
      <c r="D113" s="517">
        <f>'[1]Beschr-Descr.'!D50</f>
        <v>0</v>
      </c>
      <c r="E113" s="296">
        <f>'[1]Beschr-Descr.'!E50</f>
        <v>-0.8</v>
      </c>
      <c r="F113" s="486"/>
      <c r="G113" s="486"/>
    </row>
    <row r="114" spans="1:7" x14ac:dyDescent="0.2">
      <c r="A114" s="486" t="str">
        <f>'[1]Beschr-Descr.'!A51</f>
        <v>Lordizzazione indennità malattia quota INPS</v>
      </c>
      <c r="B114" s="517"/>
      <c r="C114" s="517">
        <f>'[1]Beschr-Descr.'!C51</f>
        <v>0</v>
      </c>
      <c r="D114" s="517">
        <f>'[1]Beschr-Descr.'!D51</f>
        <v>0</v>
      </c>
      <c r="E114" s="296">
        <f>'[1]Beschr-Descr.'!E51</f>
        <v>0.1012</v>
      </c>
      <c r="F114" s="486"/>
      <c r="G114" s="486"/>
    </row>
    <row r="115" spans="1:7" x14ac:dyDescent="0.2">
      <c r="A115" s="486">
        <f>'[1]Beschr-Descr.'!A52</f>
        <v>0</v>
      </c>
      <c r="B115" s="517"/>
      <c r="C115" s="517">
        <f>'[1]Beschr-Descr.'!C52</f>
        <v>0</v>
      </c>
      <c r="D115" s="517">
        <f>'[1]Beschr-Descr.'!D52</f>
        <v>0</v>
      </c>
      <c r="E115" s="296">
        <f>'[1]Beschr-Descr.'!E52</f>
        <v>0</v>
      </c>
      <c r="F115" s="486"/>
      <c r="G115" s="486"/>
    </row>
    <row r="116" spans="1:7" x14ac:dyDescent="0.2">
      <c r="A116" s="486" t="str">
        <f>'[1]Beschr-Descr.'!A53</f>
        <v>13a mensilità</v>
      </c>
      <c r="B116" s="517"/>
      <c r="C116" s="517">
        <f>'[1]Beschr-Descr.'!C53</f>
        <v>0</v>
      </c>
      <c r="D116" s="517">
        <f>'[1]Beschr-Descr.'!D53</f>
        <v>0</v>
      </c>
      <c r="E116" s="296">
        <f>'[1]Beschr-Descr.'!E53</f>
        <v>0</v>
      </c>
      <c r="F116" s="486"/>
      <c r="G116" s="486"/>
    </row>
    <row r="117" spans="1:7" x14ac:dyDescent="0.2">
      <c r="A117" s="486" t="str">
        <f>'[1]Beschr-Descr.'!A54</f>
        <v>14a mensilità</v>
      </c>
      <c r="B117" s="517"/>
      <c r="C117" s="517">
        <f>'[1]Beschr-Descr.'!C54</f>
        <v>0</v>
      </c>
      <c r="D117" s="517">
        <f>'[1]Beschr-Descr.'!D54</f>
        <v>0</v>
      </c>
      <c r="E117" s="296">
        <f>'[1]Beschr-Descr.'!E54</f>
        <v>0</v>
      </c>
      <c r="F117" s="486"/>
      <c r="G117" s="486"/>
    </row>
    <row r="118" spans="1:7" x14ac:dyDescent="0.2">
      <c r="A118" s="486" t="str">
        <f>'[1]Beschr-Descr.'!A55</f>
        <v>Mancato rispetto periodo preavviso licenziamento</v>
      </c>
      <c r="B118" s="517"/>
      <c r="C118" s="517">
        <f>'[1]Beschr-Descr.'!C55</f>
        <v>0</v>
      </c>
      <c r="D118" s="517">
        <f>'[1]Beschr-Descr.'!D55</f>
        <v>0</v>
      </c>
      <c r="E118" s="296">
        <f>'[1]Beschr-Descr.'!E55</f>
        <v>0</v>
      </c>
      <c r="F118" s="486"/>
      <c r="G118" s="486"/>
    </row>
    <row r="119" spans="1:7" x14ac:dyDescent="0.2">
      <c r="A119" s="486" t="str">
        <f>'[1]Beschr-Descr.'!A56</f>
        <v>Una Tantum</v>
      </c>
      <c r="B119" s="517"/>
      <c r="C119" s="517">
        <f>'[1]Beschr-Descr.'!C56</f>
        <v>0</v>
      </c>
      <c r="D119" s="517">
        <f>'[1]Beschr-Descr.'!D56</f>
        <v>0</v>
      </c>
      <c r="E119" s="296">
        <f>'[1]Beschr-Descr.'!E56</f>
        <v>0</v>
      </c>
      <c r="F119" s="486"/>
      <c r="G119" s="486"/>
    </row>
    <row r="120" spans="1:7" x14ac:dyDescent="0.2">
      <c r="A120" s="486" t="str">
        <f>'[1]Beschr-Descr.'!A57</f>
        <v>Premio</v>
      </c>
      <c r="B120" s="517"/>
      <c r="C120" s="517">
        <f>'[1]Beschr-Descr.'!C57</f>
        <v>0</v>
      </c>
      <c r="D120" s="517">
        <f>'[1]Beschr-Descr.'!D57</f>
        <v>0</v>
      </c>
      <c r="E120" s="296">
        <f>'[1]Beschr-Descr.'!E57</f>
        <v>0</v>
      </c>
      <c r="F120" s="486"/>
      <c r="G120" s="486"/>
    </row>
    <row r="121" spans="1:7" x14ac:dyDescent="0.2">
      <c r="A121" s="486">
        <f>'[1]Beschr-Descr.'!A58</f>
        <v>0</v>
      </c>
      <c r="B121" s="517"/>
      <c r="C121" s="517">
        <f>'[1]Beschr-Descr.'!C58</f>
        <v>0</v>
      </c>
      <c r="D121" s="517">
        <f>'[1]Beschr-Descr.'!D58</f>
        <v>0</v>
      </c>
      <c r="E121" s="296">
        <f>'[1]Beschr-Descr.'!E58</f>
        <v>0</v>
      </c>
      <c r="F121" s="486"/>
      <c r="G121" s="486"/>
    </row>
    <row r="122" spans="1:7" x14ac:dyDescent="0.2">
      <c r="A122" s="486">
        <f>'[1]Beschr-Descr.'!A63</f>
        <v>0</v>
      </c>
      <c r="B122" s="486"/>
      <c r="C122" s="486"/>
      <c r="D122" s="486"/>
      <c r="E122" s="486"/>
      <c r="F122" s="486"/>
      <c r="G122" s="486"/>
    </row>
    <row r="123" spans="1:7" x14ac:dyDescent="0.2">
      <c r="A123" s="486">
        <f>'[1]Beschr-Descr.'!A64</f>
        <v>0</v>
      </c>
      <c r="B123" s="486"/>
      <c r="C123" s="486"/>
      <c r="D123" s="486"/>
      <c r="E123" s="486"/>
      <c r="F123" s="486"/>
      <c r="G123" s="486"/>
    </row>
    <row r="124" spans="1:7" x14ac:dyDescent="0.2">
      <c r="A124" s="486">
        <f>'[1]Beschr-Descr.'!A65</f>
        <v>0</v>
      </c>
      <c r="B124" s="486"/>
      <c r="C124" s="486"/>
      <c r="D124" s="486"/>
      <c r="E124" s="486"/>
      <c r="F124" s="486"/>
      <c r="G124" s="486"/>
    </row>
    <row r="125" spans="1:7" x14ac:dyDescent="0.2">
      <c r="A125" s="486">
        <f>'[1]Beschr-Descr.'!A66</f>
        <v>0</v>
      </c>
      <c r="B125" s="486"/>
      <c r="C125" s="486"/>
      <c r="D125" s="486"/>
      <c r="E125" s="486"/>
      <c r="F125" s="486"/>
      <c r="G125" s="486"/>
    </row>
    <row r="126" spans="1:7" x14ac:dyDescent="0.2">
      <c r="A126" s="486">
        <f>'[1]Beschr-Descr.'!A67</f>
        <v>0</v>
      </c>
      <c r="B126" s="486"/>
      <c r="C126" s="486"/>
      <c r="D126" s="486"/>
      <c r="E126" s="486"/>
      <c r="F126" s="486"/>
      <c r="G126" s="486"/>
    </row>
    <row r="127" spans="1:7" x14ac:dyDescent="0.2">
      <c r="A127" s="486">
        <f>'[1]Beschr-Descr.'!A68</f>
        <v>0</v>
      </c>
      <c r="B127" s="486"/>
      <c r="C127" s="486"/>
      <c r="D127" s="486"/>
      <c r="E127" s="486"/>
      <c r="F127" s="486"/>
      <c r="G127" s="486"/>
    </row>
    <row r="128" spans="1:7" x14ac:dyDescent="0.2">
      <c r="A128" s="486">
        <f>'[1]Beschr-Descr.'!A69</f>
        <v>0</v>
      </c>
      <c r="B128" s="486"/>
      <c r="C128" s="486"/>
      <c r="D128" s="486"/>
      <c r="E128" s="486"/>
      <c r="F128" s="486"/>
      <c r="G128" s="486"/>
    </row>
    <row r="129" spans="1:7" x14ac:dyDescent="0.2">
      <c r="A129" s="486">
        <f>'[1]Beschr-Descr.'!A70</f>
        <v>0</v>
      </c>
      <c r="B129" s="486"/>
      <c r="C129" s="486"/>
      <c r="D129" s="486"/>
      <c r="E129" s="486"/>
      <c r="F129" s="486"/>
      <c r="G129" s="486"/>
    </row>
    <row r="130" spans="1:7" x14ac:dyDescent="0.2">
      <c r="A130" s="486">
        <f>'[1]Beschr-Descr.'!A71</f>
        <v>0</v>
      </c>
      <c r="B130" s="486"/>
      <c r="C130" s="486"/>
      <c r="D130" s="486"/>
      <c r="E130" s="486"/>
      <c r="F130" s="486"/>
      <c r="G130" s="486"/>
    </row>
    <row r="131" spans="1:7" x14ac:dyDescent="0.2">
      <c r="A131" s="486">
        <f>'[1]Beschr-Descr.'!A72</f>
        <v>0</v>
      </c>
      <c r="B131" s="486"/>
      <c r="C131" s="486"/>
      <c r="D131" s="486"/>
      <c r="E131" s="486"/>
      <c r="F131" s="486"/>
      <c r="G131" s="486"/>
    </row>
    <row r="132" spans="1:7" x14ac:dyDescent="0.2">
      <c r="A132" s="486">
        <f>'[1]Beschr-Descr.'!A73</f>
        <v>0</v>
      </c>
      <c r="B132" s="486"/>
      <c r="C132" s="486"/>
      <c r="D132" s="486"/>
      <c r="E132" s="486"/>
      <c r="F132" s="486"/>
      <c r="G132" s="486"/>
    </row>
    <row r="133" spans="1:7" x14ac:dyDescent="0.2">
      <c r="A133" s="486">
        <f>'[1]Beschr-Descr.'!A74</f>
        <v>0</v>
      </c>
      <c r="B133" s="486"/>
      <c r="C133" s="486"/>
      <c r="D133" s="486"/>
      <c r="E133" s="486"/>
      <c r="F133" s="486"/>
      <c r="G133" s="486"/>
    </row>
    <row r="134" spans="1:7" x14ac:dyDescent="0.2">
      <c r="A134" s="486">
        <f>'[1]Beschr-Descr.'!A75</f>
        <v>0</v>
      </c>
      <c r="B134" s="486"/>
      <c r="C134" s="486"/>
      <c r="D134" s="486"/>
      <c r="E134" s="486"/>
      <c r="F134" s="486"/>
      <c r="G134" s="486"/>
    </row>
    <row r="135" spans="1:7" x14ac:dyDescent="0.2">
      <c r="A135" s="486">
        <f>'[1]Beschr-Descr.'!A76</f>
        <v>0</v>
      </c>
      <c r="B135" s="486"/>
      <c r="C135" s="486"/>
      <c r="D135" s="486"/>
      <c r="E135" s="486"/>
      <c r="F135" s="486"/>
      <c r="G135" s="486"/>
    </row>
    <row r="136" spans="1:7" x14ac:dyDescent="0.2">
      <c r="A136" s="486">
        <f>'[1]Beschr-Descr.'!A77</f>
        <v>0</v>
      </c>
      <c r="B136" s="486"/>
      <c r="C136" s="486"/>
      <c r="D136" s="486"/>
      <c r="E136" s="486"/>
      <c r="F136" s="486"/>
      <c r="G136" s="486"/>
    </row>
    <row r="137" spans="1:7" x14ac:dyDescent="0.2">
      <c r="A137" s="486">
        <f>'[1]Beschr-Descr.'!A78</f>
        <v>0</v>
      </c>
      <c r="B137" s="486"/>
      <c r="C137" s="486"/>
      <c r="D137" s="486"/>
      <c r="E137" s="486"/>
      <c r="F137" s="486"/>
      <c r="G137" s="486"/>
    </row>
    <row r="138" spans="1:7" x14ac:dyDescent="0.2">
      <c r="A138" s="486">
        <f>'[1]Beschr-Descr.'!A79</f>
        <v>0</v>
      </c>
      <c r="B138" s="486"/>
      <c r="C138" s="486"/>
      <c r="D138" s="486"/>
      <c r="E138" s="486"/>
      <c r="F138" s="486"/>
      <c r="G138" s="486"/>
    </row>
    <row r="139" spans="1:7" x14ac:dyDescent="0.2">
      <c r="A139" s="486">
        <f>'[1]Beschr-Descr.'!A80</f>
        <v>0</v>
      </c>
      <c r="B139" s="486"/>
      <c r="C139" s="486"/>
      <c r="D139" s="486"/>
      <c r="E139" s="486"/>
      <c r="F139" s="486"/>
      <c r="G139" s="486"/>
    </row>
    <row r="140" spans="1:7" x14ac:dyDescent="0.2">
      <c r="A140" s="486">
        <f>'[1]Beschr-Descr.'!A81</f>
        <v>0</v>
      </c>
      <c r="B140" s="486"/>
      <c r="C140" s="486"/>
      <c r="D140" s="486"/>
      <c r="E140" s="486"/>
      <c r="F140" s="486"/>
      <c r="G140" s="486"/>
    </row>
    <row r="141" spans="1:7" x14ac:dyDescent="0.2">
      <c r="A141" s="486">
        <f>'[1]Beschr-Descr.'!A82</f>
        <v>0</v>
      </c>
      <c r="B141" s="486"/>
      <c r="C141" s="486"/>
      <c r="D141" s="486"/>
      <c r="E141" s="486"/>
      <c r="F141" s="486"/>
      <c r="G141" s="486"/>
    </row>
    <row r="142" spans="1:7" x14ac:dyDescent="0.2">
      <c r="A142" s="486">
        <f>'[1]Beschr-Descr.'!A83</f>
        <v>0</v>
      </c>
      <c r="B142" s="486"/>
      <c r="C142" s="486"/>
      <c r="D142" s="486"/>
      <c r="E142" s="486"/>
      <c r="F142" s="486"/>
      <c r="G142" s="486"/>
    </row>
    <row r="143" spans="1:7" x14ac:dyDescent="0.2">
      <c r="A143" s="486">
        <f>'[1]Beschr-Descr.'!A84</f>
        <v>0</v>
      </c>
      <c r="B143" s="486"/>
      <c r="C143" s="486"/>
      <c r="D143" s="486"/>
      <c r="E143" s="486"/>
      <c r="F143" s="486"/>
      <c r="G143" s="486"/>
    </row>
    <row r="144" spans="1:7" x14ac:dyDescent="0.2">
      <c r="A144" s="486">
        <f>'[1]Beschr-Descr.'!A85</f>
        <v>0</v>
      </c>
      <c r="B144" s="486"/>
      <c r="C144" s="486"/>
      <c r="D144" s="486"/>
      <c r="E144" s="486"/>
      <c r="F144" s="486"/>
      <c r="G144" s="486"/>
    </row>
    <row r="145" spans="1:7" x14ac:dyDescent="0.2">
      <c r="A145" s="486">
        <f>'[1]Beschr-Descr.'!A86</f>
        <v>0</v>
      </c>
      <c r="B145" s="486"/>
      <c r="C145" s="486"/>
      <c r="D145" s="486"/>
      <c r="E145" s="486"/>
      <c r="F145" s="486"/>
      <c r="G145" s="486"/>
    </row>
    <row r="146" spans="1:7" x14ac:dyDescent="0.2">
      <c r="A146" s="486">
        <f>'[1]Beschr-Descr.'!A87</f>
        <v>0</v>
      </c>
      <c r="B146" s="486"/>
      <c r="C146" s="486"/>
      <c r="D146" s="486"/>
      <c r="E146" s="486"/>
      <c r="F146" s="486"/>
      <c r="G146" s="486"/>
    </row>
    <row r="147" spans="1:7" x14ac:dyDescent="0.2">
      <c r="A147" s="486">
        <f>'[1]Beschr-Descr.'!A88</f>
        <v>0</v>
      </c>
      <c r="B147" s="486"/>
      <c r="C147" s="486"/>
      <c r="D147" s="486"/>
      <c r="E147" s="486"/>
      <c r="F147" s="486"/>
      <c r="G147" s="486"/>
    </row>
    <row r="148" spans="1:7" x14ac:dyDescent="0.2">
      <c r="A148" s="486">
        <f>'[1]Beschr-Descr.'!A89</f>
        <v>0</v>
      </c>
      <c r="B148" s="486"/>
      <c r="C148" s="486"/>
      <c r="D148" s="486"/>
      <c r="E148" s="486"/>
      <c r="F148" s="486"/>
      <c r="G148" s="486"/>
    </row>
    <row r="149" spans="1:7" x14ac:dyDescent="0.2">
      <c r="A149" s="486">
        <f>'[1]Beschr-Descr.'!A90</f>
        <v>0</v>
      </c>
      <c r="B149" s="486"/>
      <c r="C149" s="486"/>
      <c r="D149" s="486"/>
      <c r="E149" s="486"/>
      <c r="F149" s="486"/>
      <c r="G149" s="486"/>
    </row>
    <row r="150" spans="1:7" x14ac:dyDescent="0.2">
      <c r="A150" s="486">
        <f>'[1]Beschr-Descr.'!A91</f>
        <v>0</v>
      </c>
      <c r="B150" s="486"/>
      <c r="C150" s="486"/>
      <c r="D150" s="486"/>
      <c r="E150" s="486"/>
      <c r="F150" s="486"/>
      <c r="G150" s="486"/>
    </row>
    <row r="151" spans="1:7" x14ac:dyDescent="0.2">
      <c r="A151" s="486">
        <f>'[1]Beschr-Descr.'!A92</f>
        <v>0</v>
      </c>
      <c r="B151" s="486"/>
      <c r="C151" s="486"/>
      <c r="D151" s="486"/>
      <c r="E151" s="486"/>
      <c r="F151" s="486"/>
      <c r="G151" s="486"/>
    </row>
    <row r="152" spans="1:7" x14ac:dyDescent="0.2">
      <c r="A152" s="486">
        <f>'[1]Beschr-Descr.'!A93</f>
        <v>0</v>
      </c>
      <c r="B152" s="486"/>
      <c r="C152" s="486"/>
      <c r="D152" s="486"/>
      <c r="E152" s="486"/>
      <c r="F152" s="486"/>
      <c r="G152" s="486"/>
    </row>
    <row r="153" spans="1:7" x14ac:dyDescent="0.2">
      <c r="A153" s="486">
        <f>'[1]Beschr-Descr.'!A94</f>
        <v>0</v>
      </c>
      <c r="B153" s="486"/>
      <c r="C153" s="486"/>
      <c r="D153" s="486"/>
      <c r="E153" s="486"/>
      <c r="F153" s="486"/>
      <c r="G153" s="486"/>
    </row>
    <row r="154" spans="1:7" x14ac:dyDescent="0.2">
      <c r="A154" s="486">
        <f>'[1]Beschr-Descr.'!A95</f>
        <v>0</v>
      </c>
      <c r="B154" s="486"/>
      <c r="C154" s="486"/>
      <c r="D154" s="486"/>
      <c r="E154" s="486"/>
      <c r="F154" s="486"/>
      <c r="G154" s="486"/>
    </row>
    <row r="155" spans="1:7" x14ac:dyDescent="0.2">
      <c r="A155" s="486">
        <f>'[1]Beschr-Descr.'!A96</f>
        <v>0</v>
      </c>
      <c r="B155" s="486"/>
      <c r="C155" s="486"/>
      <c r="D155" s="486"/>
      <c r="E155" s="486"/>
      <c r="F155" s="486"/>
      <c r="G155" s="486"/>
    </row>
    <row r="156" spans="1:7" x14ac:dyDescent="0.2">
      <c r="A156" s="486">
        <f>'[1]Beschr-Descr.'!A97</f>
        <v>0</v>
      </c>
      <c r="B156" s="486"/>
      <c r="C156" s="486"/>
      <c r="D156" s="486"/>
      <c r="E156" s="486"/>
      <c r="F156" s="486"/>
      <c r="G156" s="486"/>
    </row>
    <row r="157" spans="1:7" x14ac:dyDescent="0.2">
      <c r="A157" s="486">
        <f>'[1]Beschr-Descr.'!A98</f>
        <v>0</v>
      </c>
      <c r="B157" s="486"/>
      <c r="C157" s="486"/>
      <c r="D157" s="486"/>
      <c r="E157" s="486"/>
      <c r="F157" s="486"/>
      <c r="G157" s="486"/>
    </row>
    <row r="158" spans="1:7" x14ac:dyDescent="0.2">
      <c r="A158" s="486">
        <f>'[1]Beschr-Descr.'!A99</f>
        <v>0</v>
      </c>
      <c r="B158" s="486"/>
      <c r="C158" s="486"/>
      <c r="D158" s="486"/>
      <c r="E158" s="486"/>
      <c r="F158" s="486"/>
      <c r="G158" s="486"/>
    </row>
    <row r="159" spans="1:7" x14ac:dyDescent="0.2">
      <c r="A159" s="486">
        <f>'[1]Beschr-Descr.'!A100</f>
        <v>0</v>
      </c>
      <c r="B159" s="486"/>
      <c r="C159" s="486"/>
      <c r="D159" s="486"/>
      <c r="E159" s="486"/>
      <c r="F159" s="486"/>
      <c r="G159" s="486"/>
    </row>
    <row r="160" spans="1:7" x14ac:dyDescent="0.2">
      <c r="A160" s="486">
        <f>'[1]Beschr-Descr.'!A101</f>
        <v>0</v>
      </c>
      <c r="B160" s="486"/>
      <c r="C160" s="486"/>
      <c r="D160" s="486"/>
      <c r="E160" s="486"/>
      <c r="F160" s="486"/>
      <c r="G160" s="486"/>
    </row>
    <row r="161" spans="1:7" x14ac:dyDescent="0.2">
      <c r="A161" s="486">
        <f>'[1]Beschr-Descr.'!A102</f>
        <v>0</v>
      </c>
      <c r="B161" s="486"/>
      <c r="C161" s="486"/>
      <c r="D161" s="486"/>
      <c r="E161" s="486"/>
      <c r="F161" s="486"/>
      <c r="G161" s="486"/>
    </row>
    <row r="162" spans="1:7" x14ac:dyDescent="0.2">
      <c r="A162" s="486"/>
      <c r="B162" s="486"/>
      <c r="C162" s="486"/>
      <c r="D162" s="486"/>
      <c r="E162" s="486"/>
      <c r="F162" s="486"/>
      <c r="G162" s="486"/>
    </row>
    <row r="163" spans="1:7" x14ac:dyDescent="0.2">
      <c r="A163" s="486"/>
      <c r="B163" s="486"/>
      <c r="C163" s="486"/>
      <c r="D163" s="486"/>
      <c r="E163" s="486"/>
      <c r="F163" s="486"/>
      <c r="G163" s="486"/>
    </row>
    <row r="164" spans="1:7" x14ac:dyDescent="0.2">
      <c r="A164" s="486"/>
      <c r="B164" s="486"/>
      <c r="C164" s="486"/>
      <c r="D164" s="486"/>
      <c r="E164" s="486"/>
      <c r="F164" s="486"/>
      <c r="G164" s="486"/>
    </row>
    <row r="165" spans="1:7" x14ac:dyDescent="0.2">
      <c r="A165" s="486"/>
      <c r="B165" s="486"/>
      <c r="C165" s="486"/>
      <c r="D165" s="486"/>
      <c r="E165" s="486"/>
      <c r="F165" s="486"/>
      <c r="G165" s="486"/>
    </row>
    <row r="166" spans="1:7" x14ac:dyDescent="0.2">
      <c r="A166" s="486"/>
      <c r="B166" s="486"/>
      <c r="C166" s="486"/>
      <c r="D166" s="486"/>
      <c r="E166" s="486"/>
      <c r="F166" s="486"/>
      <c r="G166" s="486"/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6"/>
  <sheetViews>
    <sheetView showGridLines="0" showZeros="0" topLeftCell="A16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723" t="str">
        <f>[1]Firma!$A$22</f>
        <v>13. M.</v>
      </c>
      <c r="K1" s="723"/>
      <c r="L1" s="723"/>
      <c r="M1" s="723"/>
      <c r="N1" s="723"/>
      <c r="O1" s="724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41" t="str">
        <f>VLOOKUP($P$3,'[1]Mit-1'!$A$5:$U$19,3,FALSE)</f>
        <v>39100 Bozen, Brennerstrasse 2</v>
      </c>
      <c r="H4" s="4"/>
      <c r="I4" s="197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41" t="str">
        <f>VLOOKUP($P$3,'[1]Mit-1'!$A$5:$U$19,6,FALSE)</f>
        <v>AAABBB84B11B220G</v>
      </c>
      <c r="H5" s="4"/>
      <c r="I5" s="2"/>
      <c r="J5" s="408"/>
      <c r="K5" s="65"/>
      <c r="L5" s="65"/>
      <c r="M5" s="65"/>
      <c r="N5" s="65"/>
      <c r="O5" s="67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R7" s="3"/>
      <c r="S7" s="3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VLOOKUP($P$3,'[1]Mit-2'!$A$5:$P$19,15,FALSE)</f>
        <v>2</v>
      </c>
      <c r="H8" s="133" t="s">
        <v>231</v>
      </c>
      <c r="I8" s="221">
        <f>VLOOKUP($P$3,'[1]Mit-2'!$A$46:$AD$60,29,FALSE)</f>
        <v>2</v>
      </c>
      <c r="J8" s="610" t="s">
        <v>226</v>
      </c>
      <c r="K8" s="611"/>
      <c r="L8" s="611"/>
      <c r="M8" s="611"/>
      <c r="N8" s="611"/>
      <c r="O8" s="612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1">
        <f>VLOOKUP($P$3,'[1]Mit-2'!$A$5:$AD$19,29,FALSE)</f>
        <v>100</v>
      </c>
      <c r="H9" s="132" t="s">
        <v>232</v>
      </c>
      <c r="I9" s="191"/>
      <c r="J9" s="613"/>
      <c r="K9" s="614"/>
      <c r="L9" s="614"/>
      <c r="M9" s="614"/>
      <c r="N9" s="614"/>
      <c r="O9" s="615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x14ac:dyDescent="0.2">
      <c r="A12" s="250">
        <f>VLOOKUP($G$8,'[1]Lohntab-Tab-retr.'!$A$7:$O$15,14,FALSE)</f>
        <v>1477.83</v>
      </c>
      <c r="B12" s="251">
        <f>VLOOKUP($G$8,'[1]Lohntab-Tab-retr.'!$A$21:$O$29,14,FALSE)</f>
        <v>532.54</v>
      </c>
      <c r="C12" s="251">
        <f>I8*VLOOKUP($G$8,'[1]Lohntab-Tab-retr.'!$A$63:$O$71,14,FALSE)</f>
        <v>45.66</v>
      </c>
      <c r="D12" s="251">
        <f>VLOOKUP($G$8,'[1]Lohntab-Tab-retr.'!$A$35:$O$43,14,FALSE)</f>
        <v>0</v>
      </c>
      <c r="E12" s="695">
        <f>VLOOKUP($G$8,'[1]Lohntab-Tab-retr.'!$A$49:$O$57,14,FALSE)</f>
        <v>8</v>
      </c>
      <c r="F12" s="695"/>
      <c r="G12" s="251">
        <f>VLOOKUP($P$3,'[1]Mit-2'!$A$24:$P$38,15,FALSE)</f>
        <v>300</v>
      </c>
      <c r="H12" s="251">
        <f>VLOOKUP($G$8,'[1]Lohntab-Tab-retr.'!$A$77:$O$85,14,FALSE)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726"/>
      <c r="F14" s="726"/>
      <c r="G14" s="215"/>
      <c r="H14" s="215"/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13"/>
      <c r="E15" s="727"/>
      <c r="F15" s="728"/>
      <c r="G15" s="213"/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3">
        <f>VLOOKUP($P$3,'[1]Mit-2'!$A$90:$P$104,3,FALSE)</f>
        <v>14.43</v>
      </c>
      <c r="B16" s="575"/>
      <c r="C16" s="265"/>
      <c r="D16" s="574"/>
      <c r="E16" s="725"/>
      <c r="F16" s="725"/>
      <c r="G16" s="214"/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63"/>
      <c r="L19" s="564"/>
      <c r="M19" s="564"/>
      <c r="N19" s="564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65"/>
      <c r="L20" s="566"/>
      <c r="M20" s="566"/>
      <c r="N20" s="566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>IF(A21="Abzug Bruttoberechnung Krankengeld INPS",ROUND(I18*G21,2),ROUND(H21*F21,2))</f>
        <v>0</v>
      </c>
      <c r="J21" s="410">
        <v>3</v>
      </c>
      <c r="K21" s="565"/>
      <c r="L21" s="566"/>
      <c r="M21" s="566"/>
      <c r="N21" s="566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>IF(A22="Abzug Bruttoberechnung Krankengeld INPS",ROUND(I19*G22,2),ROUND(H22*F22,2))</f>
        <v>0</v>
      </c>
      <c r="J22" s="411">
        <v>4</v>
      </c>
      <c r="K22" s="565"/>
      <c r="L22" s="566"/>
      <c r="M22" s="566"/>
      <c r="N22" s="566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>IF(A23="Abzug Bruttoberechnung Krankengeld INPS",ROUND(I19*G23,2),ROUND(H23*F23,2))</f>
        <v>0</v>
      </c>
      <c r="J23" s="410">
        <v>5</v>
      </c>
      <c r="K23" s="565"/>
      <c r="L23" s="566"/>
      <c r="M23" s="566"/>
      <c r="N23" s="566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>IF(A24="Abzug Bruttoberechnung Krankengeld INPS",ROUND(I20*G24,2),ROUND(H24*F24,2))</f>
        <v>0</v>
      </c>
      <c r="J24" s="411">
        <v>6</v>
      </c>
      <c r="K24" s="565"/>
      <c r="L24" s="566"/>
      <c r="M24" s="566"/>
      <c r="N24" s="566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65"/>
      <c r="L25" s="566"/>
      <c r="M25" s="566"/>
      <c r="N25" s="566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65"/>
      <c r="L26" s="566"/>
      <c r="M26" s="566"/>
      <c r="N26" s="566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65"/>
      <c r="L27" s="566"/>
      <c r="M27" s="566"/>
      <c r="N27" s="566"/>
      <c r="O27" s="544"/>
      <c r="P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65"/>
      <c r="L28" s="566"/>
      <c r="M28" s="566"/>
      <c r="N28" s="566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65"/>
      <c r="L29" s="566"/>
      <c r="M29" s="566"/>
      <c r="N29" s="567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65"/>
      <c r="L30" s="566"/>
      <c r="M30" s="566"/>
      <c r="N30" s="566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65"/>
      <c r="L31" s="566"/>
      <c r="M31" s="566"/>
      <c r="N31" s="566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65"/>
      <c r="L32" s="566"/>
      <c r="M32" s="566"/>
      <c r="N32" s="566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65"/>
      <c r="L33" s="566"/>
      <c r="M33" s="566"/>
      <c r="N33" s="566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65"/>
      <c r="L34" s="566"/>
      <c r="M34" s="566"/>
      <c r="N34" s="566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65"/>
      <c r="L35" s="566"/>
      <c r="M35" s="566"/>
      <c r="N35" s="566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65"/>
      <c r="L36" s="566"/>
      <c r="M36" s="566"/>
      <c r="N36" s="566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31">
        <f>ROUND(IF(I29=0,0,VLOOKUP($P$3,'[1]Mit-1'!$A$5:$U$19,12,FALSE))/12,2)</f>
        <v>0</v>
      </c>
      <c r="I37" s="571"/>
      <c r="J37" s="410">
        <v>19</v>
      </c>
      <c r="K37" s="565"/>
      <c r="L37" s="566"/>
      <c r="M37" s="566"/>
      <c r="N37" s="566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335">
        <f ca="1">IF(SUM(I29:I37)-H37&lt;0,0,SUM(I29:I37)-H37)</f>
        <v>0</v>
      </c>
      <c r="I38" s="235"/>
      <c r="J38" s="411">
        <v>20</v>
      </c>
      <c r="K38" s="565"/>
      <c r="L38" s="566"/>
      <c r="M38" s="566"/>
      <c r="N38" s="566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410">
        <v>21</v>
      </c>
      <c r="K39" s="565"/>
      <c r="L39" s="566"/>
      <c r="M39" s="566"/>
      <c r="N39" s="566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15">
        <f>ROUND(IF(I29=0,0,VLOOKUP($P$3,'[1]Mit-1'!$A$5:$AB$19,14,FALSE)/[1]Firma!$B$24*IF(R9=0,T9,R9)),2)</f>
        <v>0</v>
      </c>
      <c r="I40" s="227"/>
      <c r="J40" s="411">
        <v>22</v>
      </c>
      <c r="K40" s="565"/>
      <c r="L40" s="566"/>
      <c r="M40" s="566"/>
      <c r="N40" s="566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16"/>
      <c r="I41" s="389"/>
      <c r="J41" s="410">
        <v>23</v>
      </c>
      <c r="K41" s="565"/>
      <c r="L41" s="566"/>
      <c r="M41" s="566"/>
      <c r="N41" s="566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SUM(H39:H41)</f>
        <v>0</v>
      </c>
      <c r="J42" s="411">
        <v>24</v>
      </c>
      <c r="K42" s="565"/>
      <c r="L42" s="566"/>
      <c r="M42" s="566"/>
      <c r="N42" s="566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65"/>
      <c r="L43" s="566"/>
      <c r="M43" s="566"/>
      <c r="N43" s="566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11"/>
      <c r="D44" s="20"/>
      <c r="E44" s="719"/>
      <c r="F44" s="720"/>
      <c r="G44" s="21"/>
      <c r="H44" s="525"/>
      <c r="I44" s="237"/>
      <c r="J44" s="411">
        <v>26</v>
      </c>
      <c r="K44" s="565"/>
      <c r="L44" s="566"/>
      <c r="M44" s="566"/>
      <c r="N44" s="566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61" t="s">
        <v>115</v>
      </c>
      <c r="B45" s="22"/>
      <c r="C45" s="163"/>
      <c r="D45" s="23"/>
      <c r="E45" s="719"/>
      <c r="F45" s="720"/>
      <c r="G45" s="24"/>
      <c r="H45" s="28"/>
      <c r="I45" s="238"/>
      <c r="J45" s="410">
        <v>27</v>
      </c>
      <c r="K45" s="565"/>
      <c r="L45" s="566"/>
      <c r="M45" s="566"/>
      <c r="N45" s="566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17"/>
      <c r="C46" s="18"/>
      <c r="D46" s="16"/>
      <c r="E46" s="729"/>
      <c r="F46" s="730"/>
      <c r="G46" s="166"/>
      <c r="H46" s="167" t="s">
        <v>33</v>
      </c>
      <c r="I46" s="231"/>
      <c r="J46" s="411">
        <v>28</v>
      </c>
      <c r="K46" s="565"/>
      <c r="L46" s="566"/>
      <c r="M46" s="566"/>
      <c r="N46" s="566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11"/>
      <c r="D47" s="20"/>
      <c r="E47" s="719"/>
      <c r="F47" s="720"/>
      <c r="G47" s="21"/>
      <c r="H47" s="525"/>
      <c r="I47" s="232"/>
      <c r="J47" s="410">
        <v>29</v>
      </c>
      <c r="K47" s="565"/>
      <c r="L47" s="566"/>
      <c r="M47" s="566"/>
      <c r="N47" s="566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22" t="s">
        <v>115</v>
      </c>
      <c r="B48" s="323"/>
      <c r="C48" s="324"/>
      <c r="D48" s="325"/>
      <c r="E48" s="731"/>
      <c r="F48" s="732"/>
      <c r="G48" s="327"/>
      <c r="H48" s="326"/>
      <c r="I48" s="238"/>
      <c r="J48" s="411">
        <v>30</v>
      </c>
      <c r="K48" s="565"/>
      <c r="L48" s="566"/>
      <c r="M48" s="566"/>
      <c r="N48" s="566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61" t="s">
        <v>147</v>
      </c>
      <c r="B49" s="329"/>
      <c r="C49" s="330">
        <f>H48</f>
        <v>0</v>
      </c>
      <c r="D49" s="331">
        <f>ROUND(C49*B49,2)</f>
        <v>0</v>
      </c>
      <c r="E49" s="741"/>
      <c r="F49" s="742"/>
      <c r="G49" s="332"/>
      <c r="H49" s="333"/>
      <c r="I49" s="233"/>
      <c r="J49" s="416">
        <v>31</v>
      </c>
      <c r="K49" s="565"/>
      <c r="L49" s="566"/>
      <c r="M49" s="566"/>
      <c r="N49" s="566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60" t="s">
        <v>116</v>
      </c>
      <c r="B50" s="25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26"/>
      <c r="C51" s="80">
        <f>IF(I29=0,0,Steuern!J88)</f>
        <v>0</v>
      </c>
      <c r="D51" s="80">
        <f>IF(I29=0,0,Steuern!L88)</f>
        <v>0</v>
      </c>
      <c r="E51" s="646">
        <f>IF(I29=0,0,Steuern!N88)</f>
        <v>0</v>
      </c>
      <c r="F51" s="647"/>
      <c r="G51" s="80">
        <f>IF(I29=0,0,Steuern!P88)</f>
        <v>0</v>
      </c>
      <c r="H51" s="101">
        <f>IF(I29=0,0,Steuern!R88)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118</v>
      </c>
      <c r="B52" s="27"/>
      <c r="C52" s="56"/>
      <c r="D52" s="56"/>
      <c r="E52" s="655"/>
      <c r="F52" s="656"/>
      <c r="G52" s="56"/>
      <c r="H52" s="104"/>
      <c r="I52" s="233">
        <f>IF(H52="",0,H51-H52)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30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70" t="s">
        <v>120</v>
      </c>
      <c r="B54" s="173" t="s">
        <v>124</v>
      </c>
      <c r="C54" s="277">
        <f>IF($I$9="",0,VLOOKUP($P$3,'[1]Mit-1'!$A$5:$U$19,15,FALSE))</f>
        <v>0</v>
      </c>
      <c r="D54" s="173" t="s">
        <v>38</v>
      </c>
      <c r="E54" s="735">
        <f>ROUND(IF($I$9="",0,Steuern!$D$89/13.5),2)</f>
        <v>0</v>
      </c>
      <c r="F54" s="736"/>
      <c r="G54" s="173" t="s">
        <v>40</v>
      </c>
      <c r="H54" s="278"/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2" t="s">
        <v>121</v>
      </c>
      <c r="B55" s="175" t="s">
        <v>37</v>
      </c>
      <c r="C55" s="57"/>
      <c r="D55" s="175" t="s">
        <v>39</v>
      </c>
      <c r="E55" s="739"/>
      <c r="F55" s="740"/>
      <c r="G55" s="175" t="s">
        <v>35</v>
      </c>
      <c r="H55" s="29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5">
        <f>ROUND(IF(AND(($C$52-D$52-E$52)&lt;=R55,($C$52-D$52-E$52)&gt;0),($C$52-$D$52-E$52)*S55,0),2)</f>
        <v>0</v>
      </c>
      <c r="V55" s="3"/>
      <c r="W55" s="3"/>
      <c r="X55" s="3"/>
    </row>
    <row r="56" spans="1:26" ht="16.899999999999999" customHeight="1" x14ac:dyDescent="0.2">
      <c r="A56" s="596" t="s">
        <v>122</v>
      </c>
      <c r="B56" s="177" t="s">
        <v>125</v>
      </c>
      <c r="C56" s="597"/>
      <c r="D56" s="177" t="s">
        <v>262</v>
      </c>
      <c r="E56" s="737"/>
      <c r="F56" s="738"/>
      <c r="G56" s="589"/>
      <c r="H56" s="590"/>
      <c r="I56" s="224">
        <f>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5">
        <f>ROUND(IF(AND($C$52&lt;=R56,$C$52&gt;=Q56),T55+($C$52-R55)*S56,0),2)</f>
        <v>0</v>
      </c>
    </row>
    <row r="57" spans="1:26" ht="12.75" customHeight="1" x14ac:dyDescent="0.2">
      <c r="A57" s="591"/>
      <c r="B57" s="583"/>
      <c r="C57" s="583"/>
      <c r="D57" s="584"/>
      <c r="E57" s="653"/>
      <c r="F57" s="653"/>
      <c r="G57" s="584"/>
      <c r="H57" s="585"/>
      <c r="I57" s="592"/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5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5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4" t="s">
        <v>123</v>
      </c>
      <c r="B59" s="11"/>
      <c r="C59" s="55"/>
      <c r="D59" s="175" t="s">
        <v>41</v>
      </c>
      <c r="E59" s="733">
        <f>-'11'!H59</f>
        <v>0</v>
      </c>
      <c r="F59" s="734"/>
      <c r="G59" s="175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ROUND(IF($H$41&gt;R58,T58+($H$41-R58)*S59,0),2)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7" t="s">
        <v>43</v>
      </c>
      <c r="B60" s="428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K61" s="64"/>
      <c r="L61" s="64"/>
      <c r="M61" s="64"/>
      <c r="Q61" s="299">
        <f ca="1">SUM(I53:I58,E59)</f>
        <v>0</v>
      </c>
    </row>
    <row r="62" spans="1:26" x14ac:dyDescent="0.2">
      <c r="Q62" s="4"/>
    </row>
    <row r="63" spans="1:26" ht="15.75" customHeight="1" x14ac:dyDescent="0.2">
      <c r="Q63" s="4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Q64" s="4"/>
    </row>
    <row r="65" spans="1:7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</row>
    <row r="66" spans="1:7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</row>
    <row r="67" spans="1:7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</row>
    <row r="68" spans="1:7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</row>
    <row r="69" spans="1:7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</row>
    <row r="70" spans="1:7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</row>
    <row r="71" spans="1:7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</row>
    <row r="72" spans="1:7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</row>
    <row r="73" spans="1:7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</row>
    <row r="74" spans="1:7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</row>
    <row r="75" spans="1:7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</row>
    <row r="76" spans="1:7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</row>
    <row r="77" spans="1:7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</row>
    <row r="78" spans="1:7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</row>
    <row r="79" spans="1:7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</row>
    <row r="80" spans="1:7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</row>
    <row r="81" spans="1:7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</row>
    <row r="82" spans="1:7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</row>
    <row r="83" spans="1:7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</row>
    <row r="84" spans="1:7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</row>
    <row r="85" spans="1:7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</row>
    <row r="86" spans="1:7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</row>
    <row r="87" spans="1:7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</row>
    <row r="88" spans="1:7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</row>
    <row r="89" spans="1:7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</row>
    <row r="90" spans="1:7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</row>
    <row r="91" spans="1:7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</row>
    <row r="92" spans="1:7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</row>
    <row r="93" spans="1:7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</row>
    <row r="94" spans="1:7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</row>
    <row r="95" spans="1:7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</row>
    <row r="96" spans="1:7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</row>
    <row r="97" spans="1:7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</row>
    <row r="98" spans="1:7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</row>
    <row r="99" spans="1:7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</row>
    <row r="100" spans="1:7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</row>
    <row r="101" spans="1:7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</row>
    <row r="102" spans="1:7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</row>
    <row r="103" spans="1:7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</row>
    <row r="104" spans="1:7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</row>
    <row r="105" spans="1:7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</row>
    <row r="106" spans="1:7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</row>
    <row r="107" spans="1:7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</row>
    <row r="108" spans="1:7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</row>
    <row r="109" spans="1:7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</row>
    <row r="110" spans="1:7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</row>
    <row r="111" spans="1:7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</row>
    <row r="112" spans="1:7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</row>
    <row r="113" spans="1:7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</row>
    <row r="114" spans="1:7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</row>
    <row r="115" spans="1:7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</row>
    <row r="116" spans="1:7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</row>
    <row r="117" spans="1:7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</row>
    <row r="118" spans="1:7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</row>
    <row r="119" spans="1:7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</row>
    <row r="120" spans="1:7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</row>
    <row r="121" spans="1:7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</row>
    <row r="122" spans="1:7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</row>
    <row r="123" spans="1:7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</row>
    <row r="124" spans="1:7" x14ac:dyDescent="0.2">
      <c r="A124" s="63">
        <f>'[1]Beschr-Descr.'!A65</f>
        <v>0</v>
      </c>
      <c r="B124" s="63"/>
      <c r="C124" s="63"/>
      <c r="D124" s="63"/>
      <c r="E124" s="63"/>
      <c r="F124" s="63"/>
      <c r="G124" s="63"/>
    </row>
    <row r="125" spans="1:7" x14ac:dyDescent="0.2">
      <c r="A125" s="63">
        <f>'[1]Beschr-Descr.'!A66</f>
        <v>0</v>
      </c>
      <c r="B125" s="63"/>
      <c r="C125" s="63"/>
      <c r="D125" s="63"/>
      <c r="E125" s="63"/>
      <c r="F125" s="63"/>
      <c r="G125" s="63"/>
    </row>
    <row r="126" spans="1:7" x14ac:dyDescent="0.2">
      <c r="A126" s="63">
        <f>'[1]Beschr-Descr.'!A67</f>
        <v>0</v>
      </c>
      <c r="B126" s="63"/>
      <c r="C126" s="63"/>
      <c r="D126" s="63"/>
      <c r="E126" s="63"/>
      <c r="F126" s="63"/>
      <c r="G126" s="63"/>
    </row>
    <row r="127" spans="1:7" x14ac:dyDescent="0.2">
      <c r="A127" s="63">
        <f>'[1]Beschr-Descr.'!A68</f>
        <v>0</v>
      </c>
      <c r="B127" s="63"/>
      <c r="C127" s="63"/>
      <c r="D127" s="63"/>
      <c r="E127" s="63"/>
      <c r="F127" s="63"/>
      <c r="G127" s="63"/>
    </row>
    <row r="128" spans="1:7" x14ac:dyDescent="0.2">
      <c r="A128" s="63">
        <f>'[1]Beschr-Descr.'!A69</f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f>'[1]Beschr-Descr.'!A70</f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f>'[1]Beschr-Descr.'!A71</f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f>'[1]Beschr-Descr.'!A72</f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f>'[1]Beschr-Descr.'!A73</f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f>'[1]Beschr-Descr.'!A74</f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f>'[1]Beschr-Descr.'!A75</f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f>'[1]Beschr-Descr.'!A76</f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f>'[1]Beschr-Descr.'!A77</f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f>'[1]Beschr-Descr.'!A78</f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f>'[1]Beschr-Descr.'!A79</f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f>'[1]Beschr-Descr.'!A80</f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f>'[1]Beschr-Descr.'!A81</f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f>'[1]Beschr-Descr.'!A82</f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f>'[1]Beschr-Descr.'!A83</f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f>'[1]Beschr-Descr.'!A84</f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f>'[1]Beschr-Descr.'!A85</f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f>'[1]Beschr-Descr.'!A86</f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f>'[1]Beschr-Descr.'!A87</f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f>'[1]Beschr-Descr.'!A88</f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f>'[1]Beschr-Descr.'!A89</f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f>'[1]Beschr-Descr.'!A90</f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f>'[1]Beschr-Descr.'!A91</f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f>'[1]Beschr-Descr.'!A92</f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f>'[1]Beschr-Descr.'!A93</f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f>'[1]Beschr-Descr.'!A94</f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f>'[1]Beschr-Descr.'!A95</f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f>'[1]Beschr-Descr.'!A96</f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f>'[1]Beschr-Descr.'!A97</f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f>'[1]Beschr-Descr.'!A98</f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f>'[1]Beschr-Descr.'!A99</f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f>'[1]Beschr-Descr.'!A100</f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f>'[1]Beschr-Descr.'!A101</f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f>'[1]Beschr-Descr.'!A102</f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142875</xdr:rowOff>
                  </from>
                  <to>
                    <xdr:col>8</xdr:col>
                    <xdr:colOff>552450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8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[1]Firma!$A$23</f>
        <v>45261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41" t="str">
        <f>VLOOKUP($P$3,'[1]Mit-1'!$A$5:$U$19,3,FALSE)</f>
        <v>39100 Bozen, Brennerstrasse 2</v>
      </c>
      <c r="H4" s="4"/>
      <c r="I4" s="197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41" t="str">
        <f>VLOOKUP($P$3,'[1]Mit-1'!$A$5:$U$19,6,FALSE)</f>
        <v>AAABBB84B11B220G</v>
      </c>
      <c r="H5" s="4"/>
      <c r="I5" s="2"/>
      <c r="J5" s="408"/>
      <c r="K5" s="65"/>
      <c r="L5" s="65"/>
      <c r="M5" s="65"/>
      <c r="N5" s="65"/>
      <c r="O5" s="67"/>
      <c r="P5" s="3"/>
      <c r="Q5" s="681" t="s">
        <v>136</v>
      </c>
      <c r="R5" s="682"/>
      <c r="S5" s="68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684"/>
      <c r="R6" s="685"/>
      <c r="S6" s="686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Q7" s="687" t="s">
        <v>134</v>
      </c>
      <c r="R7" s="688"/>
      <c r="S7" s="689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VLOOKUP($P$3,'[1]Mit-2'!$A$5:$P$19,16,FALSE)</f>
        <v>2</v>
      </c>
      <c r="H8" s="133" t="s">
        <v>231</v>
      </c>
      <c r="I8" s="221">
        <f>VLOOKUP($P$3,'[1]Mit-2'!$A$46:$AD$60,30,FALSE)</f>
        <v>2</v>
      </c>
      <c r="J8" s="610" t="s">
        <v>226</v>
      </c>
      <c r="K8" s="611"/>
      <c r="L8" s="611"/>
      <c r="M8" s="611"/>
      <c r="N8" s="611"/>
      <c r="O8" s="612"/>
      <c r="P8" s="3"/>
      <c r="Q8" s="687"/>
      <c r="R8" s="688"/>
      <c r="S8" s="689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1">
        <f>VLOOKUP($P$3,'[1]Mit-2'!$A$5:$AD$19,30,FALSE)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3"/>
      <c r="Q9" s="284"/>
      <c r="R9" s="560"/>
      <c r="S9" s="67"/>
      <c r="T9" s="390">
        <f>[1]Firma!$B$23</f>
        <v>31</v>
      </c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673" t="s">
        <v>207</v>
      </c>
      <c r="R10" s="674"/>
      <c r="S10" s="675"/>
      <c r="T10" s="3"/>
      <c r="U10" s="3"/>
      <c r="V10" s="3"/>
      <c r="W10" s="3"/>
      <c r="X10" s="3"/>
      <c r="Y10" s="3"/>
      <c r="Z10" s="3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ht="12" customHeight="1" x14ac:dyDescent="0.2">
      <c r="A12" s="250">
        <f>VLOOKUP($G$8,'[1]Lohntab-Tab-retr.'!$A$7:$O$15,15,FALSE)</f>
        <v>1477.83</v>
      </c>
      <c r="B12" s="251">
        <f>VLOOKUP($G$8,'[1]Lohntab-Tab-retr.'!$A$21:$O$29,15,FALSE)</f>
        <v>532.54</v>
      </c>
      <c r="C12" s="251">
        <f>I8*VLOOKUP($G$8,'[1]Lohntab-Tab-retr.'!$A$63:$O$71,15,FALSE)</f>
        <v>45.66</v>
      </c>
      <c r="D12" s="251">
        <f>VLOOKUP($G$8,'[1]Lohntab-Tab-retr.'!$A$35:$O$43,15,FALSE)</f>
        <v>0</v>
      </c>
      <c r="E12" s="695">
        <f>VLOOKUP($G$8,'[1]Lohntab-Tab-retr.'!$A$49:$O$57,15,FALSE)</f>
        <v>8</v>
      </c>
      <c r="F12" s="695"/>
      <c r="G12" s="251">
        <f>VLOOKUP($P$3,'[1]Mit-2'!$A$24:$P$38,16,FALSE)</f>
        <v>300</v>
      </c>
      <c r="H12" s="251">
        <f>VLOOKUP($G$8,'[1]Lohntab-Tab-retr.'!$A$77:$O$85,5,FALSE)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ht="12" customHeight="1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ht="12" customHeight="1" x14ac:dyDescent="0.2">
      <c r="A16" s="572">
        <f>'11'!A16+(VLOOKUP($P$3,'[1]Mit-2'!$A$90:$P$104,16,FALSE))*G9%</f>
        <v>14.43</v>
      </c>
      <c r="B16" s="569">
        <f>M50</f>
        <v>0</v>
      </c>
      <c r="C16" s="569">
        <f>A16-B16</f>
        <v>14.43</v>
      </c>
      <c r="D16" s="569">
        <f>'11'!D16+(VLOOKUP($P$3,'[1]Mit-2'!$A$90:$AD$104,30,FALSE))*G9%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776"/>
      <c r="B19" s="777"/>
      <c r="C19" s="777"/>
      <c r="D19" s="553"/>
      <c r="E19" s="548"/>
      <c r="F19" s="554"/>
      <c r="G19" s="480">
        <f>VLOOKUP(A19,A66:F123,5,FALSE)</f>
        <v>0</v>
      </c>
      <c r="H19" s="436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576">
        <v>1</v>
      </c>
      <c r="K19" s="539"/>
      <c r="L19" s="540"/>
      <c r="M19" s="540"/>
      <c r="N19" s="540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756"/>
      <c r="B20" s="757"/>
      <c r="C20" s="757"/>
      <c r="D20" s="555"/>
      <c r="E20" s="551"/>
      <c r="F20" s="556"/>
      <c r="G20" s="480">
        <f>VLOOKUP(A20,A67:F124,5,FALSE)</f>
        <v>0</v>
      </c>
      <c r="H20" s="436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577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756"/>
      <c r="B21" s="757"/>
      <c r="C21" s="757"/>
      <c r="D21" s="555"/>
      <c r="E21" s="551"/>
      <c r="F21" s="556"/>
      <c r="G21" s="480">
        <f>VLOOKUP(A21,A66:F123,5,FALSE)</f>
        <v>0</v>
      </c>
      <c r="H21" s="436">
        <f t="shared" si="0"/>
        <v>0</v>
      </c>
      <c r="I21" s="223">
        <f t="shared" si="1"/>
        <v>0</v>
      </c>
      <c r="J21" s="577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756"/>
      <c r="B22" s="757"/>
      <c r="C22" s="757"/>
      <c r="D22" s="555"/>
      <c r="E22" s="551"/>
      <c r="F22" s="556"/>
      <c r="G22" s="480">
        <f>VLOOKUP(A22,A67:F124,5,FALSE)</f>
        <v>0</v>
      </c>
      <c r="H22" s="436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578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756"/>
      <c r="B23" s="757"/>
      <c r="C23" s="757"/>
      <c r="D23" s="555"/>
      <c r="E23" s="551"/>
      <c r="F23" s="556"/>
      <c r="G23" s="480">
        <f>VLOOKUP(A23,A67:F124,5,FALSE)</f>
        <v>0</v>
      </c>
      <c r="H23" s="436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577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756"/>
      <c r="B24" s="757"/>
      <c r="C24" s="757"/>
      <c r="D24" s="555"/>
      <c r="E24" s="551"/>
      <c r="F24" s="556"/>
      <c r="G24" s="480">
        <f>VLOOKUP(A24,A68:F125,5,FALSE)</f>
        <v>0</v>
      </c>
      <c r="H24" s="436">
        <f t="shared" si="0"/>
        <v>0</v>
      </c>
      <c r="I24" s="223">
        <f t="shared" si="1"/>
        <v>0</v>
      </c>
      <c r="J24" s="578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756"/>
      <c r="B25" s="757"/>
      <c r="C25" s="757"/>
      <c r="D25" s="555"/>
      <c r="E25" s="551"/>
      <c r="F25" s="556"/>
      <c r="G25" s="480">
        <f>VLOOKUP(A25,A71:F126,5,FALSE)</f>
        <v>0</v>
      </c>
      <c r="H25" s="436">
        <f t="shared" si="0"/>
        <v>0</v>
      </c>
      <c r="I25" s="223">
        <f t="shared" si="1"/>
        <v>0</v>
      </c>
      <c r="J25" s="577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756"/>
      <c r="B26" s="757"/>
      <c r="C26" s="757"/>
      <c r="D26" s="555"/>
      <c r="E26" s="551"/>
      <c r="F26" s="556"/>
      <c r="G26" s="480">
        <f>VLOOKUP(A26,A72:F127,5,FALSE)</f>
        <v>0</v>
      </c>
      <c r="H26" s="436">
        <f t="shared" si="0"/>
        <v>0</v>
      </c>
      <c r="I26" s="223">
        <f t="shared" si="1"/>
        <v>0</v>
      </c>
      <c r="J26" s="578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756"/>
      <c r="B27" s="757"/>
      <c r="C27" s="757"/>
      <c r="D27" s="555"/>
      <c r="E27" s="551"/>
      <c r="F27" s="556"/>
      <c r="G27" s="480">
        <f>VLOOKUP(A27,A73:F128,5,FALSE)</f>
        <v>0</v>
      </c>
      <c r="H27" s="436">
        <f t="shared" si="0"/>
        <v>0</v>
      </c>
      <c r="I27" s="223">
        <f t="shared" si="1"/>
        <v>0</v>
      </c>
      <c r="J27" s="577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756"/>
      <c r="B28" s="757"/>
      <c r="C28" s="757"/>
      <c r="D28" s="555"/>
      <c r="E28" s="551"/>
      <c r="F28" s="556"/>
      <c r="G28" s="480">
        <f>VLOOKUP(A28,A74:F129,5,FALSE)</f>
        <v>0</v>
      </c>
      <c r="H28" s="436">
        <f t="shared" si="0"/>
        <v>0</v>
      </c>
      <c r="I28" s="223">
        <f t="shared" si="1"/>
        <v>0</v>
      </c>
      <c r="J28" s="578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577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578">
        <v>12</v>
      </c>
      <c r="K30" s="542"/>
      <c r="L30" s="543"/>
      <c r="M30" s="543"/>
      <c r="N30" s="543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577">
        <v>13</v>
      </c>
      <c r="K31" s="542"/>
      <c r="L31" s="543"/>
      <c r="M31" s="543"/>
      <c r="N31" s="543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578">
        <v>14</v>
      </c>
      <c r="K32" s="542"/>
      <c r="L32" s="543"/>
      <c r="M32" s="543"/>
      <c r="N32" s="543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577">
        <v>15</v>
      </c>
      <c r="K33" s="542"/>
      <c r="L33" s="543"/>
      <c r="M33" s="543"/>
      <c r="N33" s="543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578">
        <v>16</v>
      </c>
      <c r="K34" s="542"/>
      <c r="L34" s="543"/>
      <c r="M34" s="543"/>
      <c r="N34" s="543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577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578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58">
        <f>ROUND(IF(I29=0,0,VLOOKUP($P$3,'[1]Mit-1'!$A$5:$AD$19,12,FALSE)),2)</f>
        <v>0</v>
      </c>
      <c r="I37" s="571"/>
      <c r="J37" s="577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335">
        <f ca="1">IF(SUM(I29:I37)-H37&lt;0,0,SUM(I29:I36)-H37)</f>
        <v>0</v>
      </c>
      <c r="I38" s="235"/>
      <c r="J38" s="578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577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578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577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ROUND(IF(SUM(H39:H41)&gt;=0,0,SUM(H39:H41)),2)</f>
        <v>0</v>
      </c>
      <c r="J42" s="578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577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11"/>
      <c r="D44" s="20"/>
      <c r="E44" s="719"/>
      <c r="F44" s="720"/>
      <c r="G44" s="93"/>
      <c r="H44" s="537"/>
      <c r="I44" s="237">
        <f>-H44</f>
        <v>0</v>
      </c>
      <c r="J44" s="578">
        <v>26</v>
      </c>
      <c r="K44" s="542"/>
      <c r="L44" s="543"/>
      <c r="M44" s="543"/>
      <c r="N44" s="543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61" t="s">
        <v>115</v>
      </c>
      <c r="B45" s="22"/>
      <c r="C45" s="163"/>
      <c r="D45" s="23"/>
      <c r="E45" s="719"/>
      <c r="F45" s="720"/>
      <c r="G45" s="99"/>
      <c r="H45" s="28">
        <f>IF(I29=0,0,VLOOKUP($P$3,'[1]Mit-2'!$A$65:$P$79,3,FALSE))</f>
        <v>0</v>
      </c>
      <c r="I45" s="238"/>
      <c r="J45" s="577">
        <v>27</v>
      </c>
      <c r="K45" s="542"/>
      <c r="L45" s="543"/>
      <c r="M45" s="543"/>
      <c r="N45" s="543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17"/>
      <c r="C46" s="18"/>
      <c r="D46" s="16"/>
      <c r="E46" s="729"/>
      <c r="F46" s="730"/>
      <c r="G46" s="164"/>
      <c r="H46" s="167" t="s">
        <v>33</v>
      </c>
      <c r="I46" s="231"/>
      <c r="J46" s="578">
        <v>28</v>
      </c>
      <c r="K46" s="542"/>
      <c r="L46" s="543"/>
      <c r="M46" s="543"/>
      <c r="N46" s="543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11"/>
      <c r="D47" s="20"/>
      <c r="E47" s="719"/>
      <c r="F47" s="720"/>
      <c r="G47" s="93"/>
      <c r="H47" s="537"/>
      <c r="I47" s="232">
        <f>-H47</f>
        <v>0</v>
      </c>
      <c r="J47" s="577">
        <v>29</v>
      </c>
      <c r="K47" s="542"/>
      <c r="L47" s="543"/>
      <c r="M47" s="543"/>
      <c r="N47" s="543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22" t="s">
        <v>115</v>
      </c>
      <c r="B48" s="323"/>
      <c r="C48" s="324"/>
      <c r="D48" s="325"/>
      <c r="E48" s="731"/>
      <c r="F48" s="732"/>
      <c r="G48" s="321"/>
      <c r="H48" s="450">
        <f>IF(I29=0,0,VLOOKUP($P$3,'[1]Mit-2'!$A$65:$AD$79,3,FALSE))</f>
        <v>0</v>
      </c>
      <c r="I48" s="238"/>
      <c r="J48" s="578">
        <v>30</v>
      </c>
      <c r="K48" s="542"/>
      <c r="L48" s="543"/>
      <c r="M48" s="543"/>
      <c r="N48" s="543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61" t="s">
        <v>147</v>
      </c>
      <c r="B49" s="329"/>
      <c r="C49" s="330">
        <f>H48</f>
        <v>0</v>
      </c>
      <c r="D49" s="331">
        <f>ROUND(C49*B49,2)</f>
        <v>0</v>
      </c>
      <c r="E49" s="741"/>
      <c r="F49" s="742"/>
      <c r="G49" s="332"/>
      <c r="H49" s="333"/>
      <c r="I49" s="233"/>
      <c r="J49" s="579">
        <v>31</v>
      </c>
      <c r="K49" s="542"/>
      <c r="L49" s="543"/>
      <c r="M49" s="543"/>
      <c r="N49" s="543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60" t="s">
        <v>139</v>
      </c>
      <c r="B50" s="25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/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26"/>
      <c r="C51" s="80">
        <f>IF(I29=0,0,Steuern!J89)</f>
        <v>0</v>
      </c>
      <c r="D51" s="80">
        <f>IF(I29=0,0,Steuern!L89)</f>
        <v>0</v>
      </c>
      <c r="E51" s="646">
        <f>IF(I29=0,0,Steuern!N89)</f>
        <v>0</v>
      </c>
      <c r="F51" s="647"/>
      <c r="G51" s="80">
        <f>IF(I29=0,0,Steuern!P89)</f>
        <v>0</v>
      </c>
      <c r="H51" s="101">
        <f>IF(I29=0,0,Steuern!R89)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27"/>
      <c r="C52" s="103">
        <f>IF(I29=0,0,Steuern!J89)</f>
        <v>0</v>
      </c>
      <c r="D52" s="103">
        <f>U60</f>
        <v>0</v>
      </c>
      <c r="E52" s="655">
        <f>IF(I29=0,0,Ausgleich!F60)</f>
        <v>0</v>
      </c>
      <c r="F52" s="656"/>
      <c r="G52" s="56">
        <f>IF(I29=0,0,Ausgleich!G63)</f>
        <v>0</v>
      </c>
      <c r="H52" s="418">
        <f>IF((D52-E52-G52)&lt;0,0,D52-E52-G52)</f>
        <v>0</v>
      </c>
      <c r="I52" s="233">
        <f>ROUND(IF(G52="",0,H51-H52),2)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30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70" t="s">
        <v>120</v>
      </c>
      <c r="B54" s="173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2" t="s">
        <v>121</v>
      </c>
      <c r="B55" s="175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3"/>
      <c r="W55" s="3"/>
      <c r="X55" s="3"/>
    </row>
    <row r="56" spans="1:26" ht="16.899999999999999" customHeight="1" x14ac:dyDescent="0.2">
      <c r="A56" s="596" t="s">
        <v>122</v>
      </c>
      <c r="B56" s="177" t="s">
        <v>125</v>
      </c>
      <c r="C56" s="588">
        <f>ROUND(C54*'[1]Mit-2'!$P$84%,2)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4" t="s">
        <v>123</v>
      </c>
      <c r="B59" s="11"/>
      <c r="C59" s="55"/>
      <c r="D59" s="175" t="s">
        <v>41</v>
      </c>
      <c r="E59" s="733">
        <f>-'13'!H59</f>
        <v>0</v>
      </c>
      <c r="F59" s="734"/>
      <c r="G59" s="175" t="s">
        <v>42</v>
      </c>
      <c r="H59" s="244"/>
      <c r="I59" s="527">
        <f>E59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7" t="s">
        <v>43</v>
      </c>
      <c r="B60" s="428"/>
      <c r="C60" s="428"/>
      <c r="D60" s="428"/>
      <c r="E60" s="428"/>
      <c r="F60" s="428"/>
      <c r="G60" s="428"/>
      <c r="H60" s="428"/>
      <c r="I60" s="530">
        <f ca="1">SUM(I53:I59)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Q64" s="205"/>
    </row>
    <row r="65" spans="1:7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</row>
    <row r="66" spans="1:7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</row>
    <row r="67" spans="1:7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</row>
    <row r="68" spans="1:7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486" t="s">
        <v>45</v>
      </c>
      <c r="G68" s="63"/>
    </row>
    <row r="69" spans="1:7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486" t="s">
        <v>46</v>
      </c>
      <c r="G69" s="63"/>
    </row>
    <row r="70" spans="1:7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486"/>
      <c r="G70" s="63"/>
    </row>
    <row r="71" spans="1:7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486"/>
      <c r="G71" s="63"/>
    </row>
    <row r="72" spans="1:7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486"/>
      <c r="G72" s="63"/>
    </row>
    <row r="73" spans="1:7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486"/>
      <c r="G73" s="63"/>
    </row>
    <row r="74" spans="1:7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</row>
    <row r="75" spans="1:7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</row>
    <row r="76" spans="1:7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</row>
    <row r="77" spans="1:7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</row>
    <row r="78" spans="1:7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</row>
    <row r="79" spans="1:7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</row>
    <row r="80" spans="1:7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</row>
    <row r="81" spans="1:7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</row>
    <row r="82" spans="1:7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</row>
    <row r="83" spans="1:7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</row>
    <row r="84" spans="1:7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</row>
    <row r="85" spans="1:7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</row>
    <row r="86" spans="1:7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</row>
    <row r="87" spans="1:7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</row>
    <row r="88" spans="1:7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</row>
    <row r="89" spans="1:7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</row>
    <row r="90" spans="1:7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</row>
    <row r="91" spans="1:7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</row>
    <row r="92" spans="1:7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</row>
    <row r="93" spans="1:7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</row>
    <row r="94" spans="1:7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</row>
    <row r="95" spans="1:7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</row>
    <row r="96" spans="1:7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</row>
    <row r="97" spans="1:7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</row>
    <row r="98" spans="1:7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</row>
    <row r="99" spans="1:7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</row>
    <row r="100" spans="1:7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</row>
    <row r="101" spans="1:7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</row>
    <row r="102" spans="1:7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</row>
    <row r="103" spans="1:7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</row>
    <row r="104" spans="1:7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</row>
    <row r="105" spans="1:7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</row>
    <row r="106" spans="1:7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</row>
    <row r="107" spans="1:7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</row>
    <row r="108" spans="1:7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</row>
    <row r="109" spans="1:7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</row>
    <row r="110" spans="1:7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</row>
    <row r="111" spans="1:7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</row>
    <row r="112" spans="1:7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</row>
    <row r="113" spans="1:7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</row>
    <row r="114" spans="1:7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</row>
    <row r="115" spans="1:7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</row>
    <row r="116" spans="1:7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</row>
    <row r="117" spans="1:7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</row>
    <row r="118" spans="1:7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</row>
    <row r="119" spans="1:7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</row>
    <row r="120" spans="1:7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</row>
    <row r="121" spans="1:7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</row>
    <row r="122" spans="1:7" x14ac:dyDescent="0.2">
      <c r="A122" s="63">
        <f>'[1]Beschr-Descr.'!A61</f>
        <v>0</v>
      </c>
      <c r="B122" s="63"/>
      <c r="C122" s="63"/>
      <c r="D122" s="63"/>
      <c r="E122" s="63"/>
      <c r="F122" s="63"/>
      <c r="G122" s="63"/>
    </row>
    <row r="123" spans="1:7" x14ac:dyDescent="0.2">
      <c r="A123" s="63">
        <f>'[1]Beschr-Descr.'!A62</f>
        <v>0</v>
      </c>
      <c r="B123" s="63"/>
      <c r="C123" s="63"/>
      <c r="D123" s="63"/>
      <c r="E123" s="63"/>
      <c r="F123" s="63"/>
      <c r="G123" s="63"/>
    </row>
    <row r="124" spans="1:7" x14ac:dyDescent="0.2">
      <c r="A124" s="63">
        <f>'[1]Beschr-Descr.'!A63</f>
        <v>0</v>
      </c>
      <c r="B124" s="63"/>
      <c r="C124" s="63"/>
      <c r="D124" s="63"/>
      <c r="E124" s="63"/>
      <c r="F124" s="63"/>
      <c r="G124" s="63"/>
    </row>
    <row r="125" spans="1:7" x14ac:dyDescent="0.2">
      <c r="A125" s="63">
        <f>'[1]Beschr-Descr.'!A64</f>
        <v>0</v>
      </c>
      <c r="B125" s="63"/>
      <c r="C125" s="63"/>
      <c r="D125" s="63"/>
      <c r="E125" s="63"/>
      <c r="F125" s="63"/>
      <c r="G125" s="63"/>
    </row>
    <row r="126" spans="1:7" x14ac:dyDescent="0.2">
      <c r="A126" s="63">
        <f>'[1]Beschr-Descr.'!A65</f>
        <v>0</v>
      </c>
      <c r="B126" s="63"/>
      <c r="C126" s="63"/>
      <c r="D126" s="63"/>
      <c r="E126" s="63"/>
      <c r="F126" s="63"/>
      <c r="G126" s="63"/>
    </row>
    <row r="127" spans="1:7" x14ac:dyDescent="0.2">
      <c r="A127" s="63">
        <f>'[1]Beschr-Descr.'!A66</f>
        <v>0</v>
      </c>
      <c r="B127" s="63"/>
      <c r="C127" s="63"/>
      <c r="D127" s="63"/>
      <c r="E127" s="63"/>
      <c r="F127" s="63"/>
      <c r="G127" s="63"/>
    </row>
    <row r="128" spans="1:7" x14ac:dyDescent="0.2">
      <c r="A128" s="63">
        <f>'[1]Beschr-Descr.'!A67</f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f>'[1]Beschr-Descr.'!A68</f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f>'[1]Beschr-Descr.'!A69</f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f>'[1]Beschr-Descr.'!A70</f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f>'[1]Beschr-Descr.'!A71</f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f>'[1]Beschr-Descr.'!A72</f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f>'[1]Beschr-Descr.'!A73</f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f>'[1]Beschr-Descr.'!A74</f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f>'[1]Beschr-Descr.'!A75</f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f>'[1]Beschr-Descr.'!A76</f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f>'[1]Beschr-Descr.'!A77</f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f>'[1]Beschr-Descr.'!A78</f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f>'[1]Beschr-Descr.'!A79</f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f>'[1]Beschr-Descr.'!A80</f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f>'[1]Beschr-Descr.'!A81</f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f>'[1]Beschr-Descr.'!A82</f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f>'[1]Beschr-Descr.'!A83</f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f>'[1]Beschr-Descr.'!A84</f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f>'[1]Beschr-Descr.'!A85</f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f>'[1]Beschr-Descr.'!A86</f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f>'[1]Beschr-Descr.'!A87</f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f>'[1]Beschr-Descr.'!A88</f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f>'[1]Beschr-Descr.'!A89</f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f>'[1]Beschr-Descr.'!A90</f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f>'[1]Beschr-Descr.'!A91</f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f>'[1]Beschr-Descr.'!A92</f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f>'[1]Beschr-Descr.'!A93</f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f>'[1]Beschr-Descr.'!A94</f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f>'[1]Beschr-Descr.'!A95</f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f>'[1]Beschr-Descr.'!A96</f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f>'[1]Beschr-Descr.'!A97</f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f>'[1]Beschr-Descr.'!A98</f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f>'[1]Beschr-Descr.'!A99</f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f>'[1]Beschr-Descr.'!A100</f>
        <v>0</v>
      </c>
      <c r="B161" s="63"/>
      <c r="C161" s="63"/>
      <c r="D161" s="63"/>
      <c r="E161" s="63"/>
      <c r="F161" s="63"/>
      <c r="G161" s="63"/>
    </row>
    <row r="162" spans="1:7" x14ac:dyDescent="0.2">
      <c r="A162" s="63">
        <f>'[1]Beschr-Descr.'!A101</f>
        <v>0</v>
      </c>
      <c r="B162" s="63"/>
      <c r="C162" s="63"/>
      <c r="D162" s="63"/>
      <c r="E162" s="63"/>
      <c r="F162" s="63"/>
      <c r="G162" s="63"/>
    </row>
    <row r="163" spans="1:7" x14ac:dyDescent="0.2">
      <c r="A163" s="63">
        <f>'[1]Beschr-Descr.'!A102</f>
        <v>0</v>
      </c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  <row r="167" spans="1:7" x14ac:dyDescent="0.2">
      <c r="A167" s="63"/>
      <c r="B167" s="63"/>
      <c r="C167" s="63"/>
      <c r="D167" s="63"/>
      <c r="E167" s="63"/>
      <c r="F167" s="63"/>
      <c r="G167" s="63"/>
    </row>
    <row r="168" spans="1:7" x14ac:dyDescent="0.2">
      <c r="A168" s="63"/>
      <c r="B168" s="63"/>
      <c r="C168" s="63"/>
      <c r="D168" s="63"/>
      <c r="E168" s="63"/>
      <c r="F168" s="63"/>
      <c r="G168" s="63"/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disablePrompts="1"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542925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>
      <selection activeCell="C6" sqref="C6"/>
    </sheetView>
  </sheetViews>
  <sheetFormatPr baseColWidth="10" defaultRowHeight="12.75" x14ac:dyDescent="0.2"/>
  <cols>
    <col min="1" max="2" width="9.28515625" customWidth="1"/>
    <col min="5" max="5" width="3.140625" customWidth="1"/>
    <col min="9" max="9" width="3.5703125" customWidth="1"/>
    <col min="10" max="10" width="7.42578125" customWidth="1"/>
    <col min="11" max="11" width="7.85546875" style="351" customWidth="1"/>
    <col min="12" max="13" width="7.85546875" customWidth="1"/>
  </cols>
  <sheetData>
    <row r="1" spans="1:15" x14ac:dyDescent="0.2">
      <c r="A1" s="280" t="s">
        <v>208</v>
      </c>
    </row>
    <row r="3" spans="1:15" s="3" customFormat="1" ht="16.5" customHeight="1" x14ac:dyDescent="0.2">
      <c r="A3" s="432" t="s">
        <v>201</v>
      </c>
      <c r="B3" s="386"/>
      <c r="C3" s="388" t="s">
        <v>206</v>
      </c>
      <c r="D3" s="3" t="s">
        <v>204</v>
      </c>
      <c r="K3" s="387"/>
      <c r="O3" s="3" t="s">
        <v>205</v>
      </c>
    </row>
    <row r="4" spans="1:15" s="3" customFormat="1" ht="16.5" customHeight="1" x14ac:dyDescent="0.2">
      <c r="A4" s="432" t="s">
        <v>177</v>
      </c>
      <c r="B4" s="386"/>
      <c r="C4" s="388">
        <v>0</v>
      </c>
      <c r="D4" s="3" t="s">
        <v>203</v>
      </c>
      <c r="K4" s="387"/>
      <c r="O4" s="3" t="s">
        <v>206</v>
      </c>
    </row>
    <row r="5" spans="1:15" s="3" customFormat="1" ht="16.5" customHeight="1" x14ac:dyDescent="0.2">
      <c r="A5" s="432" t="s">
        <v>179</v>
      </c>
      <c r="B5" s="386"/>
      <c r="C5" s="388">
        <v>0</v>
      </c>
      <c r="D5" s="3" t="s">
        <v>203</v>
      </c>
      <c r="K5" s="387"/>
    </row>
    <row r="6" spans="1:15" s="3" customFormat="1" ht="16.5" customHeight="1" x14ac:dyDescent="0.2">
      <c r="A6" s="432" t="s">
        <v>240</v>
      </c>
      <c r="B6" s="386"/>
      <c r="C6" s="388">
        <v>0</v>
      </c>
      <c r="D6" s="3" t="s">
        <v>203</v>
      </c>
      <c r="K6" s="387"/>
    </row>
    <row r="7" spans="1:15" s="3" customFormat="1" ht="16.5" customHeight="1" x14ac:dyDescent="0.2">
      <c r="A7" s="432" t="s">
        <v>241</v>
      </c>
      <c r="B7" s="386"/>
      <c r="C7" s="388">
        <v>0</v>
      </c>
      <c r="D7" s="3" t="s">
        <v>203</v>
      </c>
      <c r="K7" s="387"/>
    </row>
    <row r="8" spans="1:15" s="3" customFormat="1" ht="16.5" customHeight="1" x14ac:dyDescent="0.2">
      <c r="A8" s="432" t="s">
        <v>202</v>
      </c>
      <c r="B8" s="386"/>
      <c r="C8" s="388">
        <v>0</v>
      </c>
      <c r="D8" s="3" t="s">
        <v>203</v>
      </c>
      <c r="K8" s="387"/>
    </row>
    <row r="10" spans="1:15" s="4" customFormat="1" ht="22.5" customHeight="1" x14ac:dyDescent="0.2">
      <c r="A10" s="778" t="s">
        <v>164</v>
      </c>
      <c r="B10" s="778"/>
      <c r="C10" s="352" t="str">
        <f>'12'!G3</f>
        <v>Mustermann Max</v>
      </c>
      <c r="K10" s="353"/>
    </row>
    <row r="11" spans="1:15" s="356" customFormat="1" ht="24" customHeight="1" x14ac:dyDescent="0.2">
      <c r="A11" s="779" t="s">
        <v>194</v>
      </c>
      <c r="B11" s="779"/>
      <c r="C11" s="355">
        <f ca="1">Steuern!J89</f>
        <v>0</v>
      </c>
      <c r="K11" s="357"/>
    </row>
    <row r="12" spans="1:15" s="356" customFormat="1" ht="24" customHeight="1" x14ac:dyDescent="0.2">
      <c r="A12" s="354"/>
      <c r="B12" s="354"/>
      <c r="C12" s="355"/>
      <c r="K12" s="357"/>
    </row>
    <row r="13" spans="1:15" x14ac:dyDescent="0.2">
      <c r="A13" s="358" t="s">
        <v>165</v>
      </c>
    </row>
    <row r="14" spans="1:15" ht="5.25" customHeight="1" x14ac:dyDescent="0.2"/>
    <row r="15" spans="1:15" s="4" customFormat="1" x14ac:dyDescent="0.2">
      <c r="A15" s="359">
        <v>0</v>
      </c>
      <c r="B15" s="359">
        <v>8000</v>
      </c>
      <c r="C15" s="360">
        <f ca="1">IF(AND(C$11&lt;=$B$15,C$11&gt;$A$15),$D$15,0)</f>
        <v>0</v>
      </c>
      <c r="D15" s="361">
        <v>1840</v>
      </c>
      <c r="J15" s="362"/>
      <c r="K15" s="353"/>
    </row>
    <row r="16" spans="1:15" ht="15" x14ac:dyDescent="0.2">
      <c r="A16" s="359">
        <v>8001</v>
      </c>
      <c r="B16" s="359">
        <v>15000</v>
      </c>
      <c r="C16" s="360">
        <f ca="1">ROUND(IF(AND(C$11&lt;=$B$16,C$11&gt;=$A$16),$D16+$K$16*ROUNDDOWN(($L$16-C$11)/$M$16,4),0),2)</f>
        <v>0</v>
      </c>
      <c r="D16" s="361">
        <v>1338</v>
      </c>
      <c r="E16" s="363" t="s">
        <v>166</v>
      </c>
      <c r="F16" s="364" t="s">
        <v>167</v>
      </c>
      <c r="G16" s="364"/>
      <c r="H16" s="364"/>
      <c r="I16" s="364"/>
      <c r="J16" s="362"/>
      <c r="K16" s="365">
        <v>502</v>
      </c>
      <c r="L16" s="365">
        <v>15000</v>
      </c>
      <c r="M16" s="365">
        <v>7000</v>
      </c>
      <c r="N16" s="366"/>
    </row>
    <row r="17" spans="1:14" x14ac:dyDescent="0.2">
      <c r="A17" s="359">
        <v>15001</v>
      </c>
      <c r="B17" s="359">
        <v>23000</v>
      </c>
      <c r="C17" s="360">
        <f t="shared" ref="C17:C23" ca="1" si="0">ROUND(IF(AND(C$11&lt;=$B17,C$11&gt;=$A17),$J17+$D17*ROUNDDOWN(($K$17-C$11)/$L$17,4),0),2)</f>
        <v>0</v>
      </c>
      <c r="D17" s="361">
        <v>1338</v>
      </c>
      <c r="E17" s="367" t="s">
        <v>168</v>
      </c>
      <c r="F17" s="364" t="s">
        <v>169</v>
      </c>
      <c r="G17" s="364"/>
      <c r="H17" s="364"/>
      <c r="I17" s="364"/>
      <c r="J17" s="362"/>
      <c r="K17" s="368">
        <v>55000</v>
      </c>
      <c r="L17" s="365">
        <v>40000</v>
      </c>
      <c r="M17" s="365"/>
      <c r="N17" s="366"/>
    </row>
    <row r="18" spans="1:14" x14ac:dyDescent="0.2">
      <c r="A18" s="359">
        <v>23001</v>
      </c>
      <c r="B18" s="359">
        <v>24000</v>
      </c>
      <c r="C18" s="360">
        <f t="shared" ca="1" si="0"/>
        <v>0</v>
      </c>
      <c r="D18" s="361">
        <v>1338</v>
      </c>
      <c r="E18" s="367" t="s">
        <v>168</v>
      </c>
      <c r="F18" s="364" t="s">
        <v>170</v>
      </c>
      <c r="G18" s="364"/>
      <c r="H18" s="364"/>
      <c r="I18" s="364"/>
      <c r="J18" s="362">
        <v>10</v>
      </c>
      <c r="K18" s="369"/>
      <c r="L18" s="365"/>
      <c r="M18" s="365"/>
      <c r="N18" s="366"/>
    </row>
    <row r="19" spans="1:14" x14ac:dyDescent="0.2">
      <c r="A19" s="359">
        <v>24001</v>
      </c>
      <c r="B19" s="359">
        <v>25000</v>
      </c>
      <c r="C19" s="360">
        <f t="shared" ca="1" si="0"/>
        <v>0</v>
      </c>
      <c r="D19" s="361">
        <v>1338</v>
      </c>
      <c r="E19" s="367" t="s">
        <v>168</v>
      </c>
      <c r="F19" s="364" t="s">
        <v>170</v>
      </c>
      <c r="G19" s="364"/>
      <c r="H19" s="364"/>
      <c r="I19" s="364"/>
      <c r="J19" s="362">
        <v>20</v>
      </c>
      <c r="K19" s="369"/>
      <c r="L19" s="365"/>
      <c r="M19" s="365"/>
      <c r="N19" s="366"/>
    </row>
    <row r="20" spans="1:14" x14ac:dyDescent="0.2">
      <c r="A20" s="359">
        <v>25001</v>
      </c>
      <c r="B20" s="359">
        <v>26000</v>
      </c>
      <c r="C20" s="360">
        <f t="shared" ca="1" si="0"/>
        <v>0</v>
      </c>
      <c r="D20" s="361">
        <v>1338</v>
      </c>
      <c r="E20" s="367" t="s">
        <v>168</v>
      </c>
      <c r="F20" s="364" t="s">
        <v>170</v>
      </c>
      <c r="G20" s="364"/>
      <c r="H20" s="364"/>
      <c r="I20" s="364"/>
      <c r="J20" s="362">
        <v>30</v>
      </c>
      <c r="K20" s="369"/>
      <c r="L20" s="365"/>
      <c r="M20" s="365"/>
      <c r="N20" s="366"/>
    </row>
    <row r="21" spans="1:14" x14ac:dyDescent="0.2">
      <c r="A21" s="359">
        <v>26001</v>
      </c>
      <c r="B21" s="359">
        <v>27700</v>
      </c>
      <c r="C21" s="360">
        <f t="shared" ca="1" si="0"/>
        <v>0</v>
      </c>
      <c r="D21" s="361">
        <v>1338</v>
      </c>
      <c r="E21" s="367" t="s">
        <v>168</v>
      </c>
      <c r="F21" s="364" t="s">
        <v>170</v>
      </c>
      <c r="G21" s="364"/>
      <c r="H21" s="364"/>
      <c r="I21" s="364"/>
      <c r="J21" s="362">
        <v>40</v>
      </c>
      <c r="K21" s="369"/>
      <c r="L21" s="365"/>
      <c r="M21" s="365"/>
      <c r="N21" s="366"/>
    </row>
    <row r="22" spans="1:14" x14ac:dyDescent="0.2">
      <c r="A22" s="359">
        <v>27701</v>
      </c>
      <c r="B22" s="359">
        <v>28000</v>
      </c>
      <c r="C22" s="360">
        <f t="shared" ca="1" si="0"/>
        <v>0</v>
      </c>
      <c r="D22" s="361">
        <v>1338</v>
      </c>
      <c r="E22" s="367" t="s">
        <v>168</v>
      </c>
      <c r="F22" s="364" t="s">
        <v>170</v>
      </c>
      <c r="G22" s="364"/>
      <c r="H22" s="364"/>
      <c r="I22" s="364"/>
      <c r="J22" s="362">
        <v>25</v>
      </c>
      <c r="K22" s="369"/>
      <c r="L22" s="365"/>
      <c r="M22" s="365"/>
      <c r="N22" s="366"/>
    </row>
    <row r="23" spans="1:14" x14ac:dyDescent="0.2">
      <c r="A23" s="359">
        <v>28001</v>
      </c>
      <c r="B23" s="359">
        <v>55000</v>
      </c>
      <c r="C23" s="360">
        <f t="shared" ca="1" si="0"/>
        <v>0</v>
      </c>
      <c r="D23" s="361">
        <v>1338</v>
      </c>
      <c r="E23" s="367" t="s">
        <v>168</v>
      </c>
      <c r="F23" s="364" t="s">
        <v>170</v>
      </c>
      <c r="G23" s="364"/>
      <c r="H23" s="364"/>
    </row>
    <row r="24" spans="1:14" x14ac:dyDescent="0.2">
      <c r="A24" s="4"/>
      <c r="B24" s="4"/>
    </row>
    <row r="26" spans="1:14" x14ac:dyDescent="0.2">
      <c r="A26" s="358" t="s">
        <v>171</v>
      </c>
    </row>
    <row r="27" spans="1:14" ht="5.25" customHeight="1" x14ac:dyDescent="0.2"/>
    <row r="28" spans="1:14" s="4" customFormat="1" ht="12" customHeight="1" x14ac:dyDescent="0.2">
      <c r="A28" s="359">
        <v>0</v>
      </c>
      <c r="B28" s="359">
        <v>15000</v>
      </c>
      <c r="C28" s="360">
        <f ca="1">ROUND(IF(AND(C$11&lt;=$B$28,C$11&gt;$A$28),$D28-$K$29*C$11/$L$29,0),2)</f>
        <v>0</v>
      </c>
      <c r="D28" s="361">
        <v>800</v>
      </c>
      <c r="E28" s="370" t="s">
        <v>172</v>
      </c>
      <c r="F28" s="4" t="s">
        <v>173</v>
      </c>
      <c r="J28" s="362"/>
      <c r="K28" s="353"/>
    </row>
    <row r="29" spans="1:14" ht="12" customHeight="1" x14ac:dyDescent="0.2">
      <c r="A29" s="359">
        <v>15001</v>
      </c>
      <c r="B29" s="359">
        <v>29000</v>
      </c>
      <c r="C29" s="360">
        <f t="shared" ref="C29:C35" ca="1" si="1">ROUND(IF(AND(C$11&lt;=$B29,C$11&gt;=$A29),$D29,0),2)</f>
        <v>0</v>
      </c>
      <c r="D29" s="361">
        <v>690</v>
      </c>
      <c r="E29" s="363"/>
      <c r="F29" s="364"/>
      <c r="G29" s="364"/>
      <c r="H29" s="364"/>
      <c r="I29" s="364"/>
      <c r="J29" s="362"/>
      <c r="K29" s="365">
        <v>110</v>
      </c>
      <c r="L29" s="365">
        <v>15000</v>
      </c>
      <c r="M29" s="365"/>
      <c r="N29" s="366"/>
    </row>
    <row r="30" spans="1:14" ht="12" customHeight="1" x14ac:dyDescent="0.2">
      <c r="A30" s="359">
        <v>29001</v>
      </c>
      <c r="B30" s="359">
        <v>29200</v>
      </c>
      <c r="C30" s="360">
        <f t="shared" ca="1" si="1"/>
        <v>0</v>
      </c>
      <c r="D30" s="361">
        <v>700</v>
      </c>
      <c r="E30" s="367"/>
      <c r="F30" s="364"/>
      <c r="G30" s="364"/>
      <c r="H30" s="364"/>
      <c r="I30" s="364"/>
      <c r="J30" s="362"/>
      <c r="K30" s="368">
        <v>80000</v>
      </c>
      <c r="L30" s="365">
        <v>40000</v>
      </c>
      <c r="M30" s="365"/>
      <c r="N30" s="366"/>
    </row>
    <row r="31" spans="1:14" ht="12" customHeight="1" x14ac:dyDescent="0.2">
      <c r="A31" s="359">
        <v>29201</v>
      </c>
      <c r="B31" s="359">
        <v>34700</v>
      </c>
      <c r="C31" s="360">
        <f t="shared" ca="1" si="1"/>
        <v>0</v>
      </c>
      <c r="D31" s="361">
        <v>710</v>
      </c>
      <c r="E31" s="367"/>
      <c r="F31" s="364"/>
      <c r="G31" s="364"/>
      <c r="H31" s="364"/>
      <c r="I31" s="364"/>
      <c r="J31" s="362"/>
      <c r="K31" s="369"/>
      <c r="L31" s="365"/>
      <c r="M31" s="365"/>
      <c r="N31" s="366"/>
    </row>
    <row r="32" spans="1:14" ht="12" customHeight="1" x14ac:dyDescent="0.2">
      <c r="A32" s="359">
        <v>34701</v>
      </c>
      <c r="B32" s="359">
        <v>35000</v>
      </c>
      <c r="C32" s="360">
        <f t="shared" ca="1" si="1"/>
        <v>0</v>
      </c>
      <c r="D32" s="361">
        <v>720</v>
      </c>
      <c r="E32" s="367"/>
      <c r="F32" s="364"/>
      <c r="G32" s="364"/>
      <c r="H32" s="364"/>
      <c r="I32" s="364"/>
      <c r="J32" s="362"/>
      <c r="K32" s="369"/>
      <c r="L32" s="365"/>
      <c r="M32" s="365"/>
      <c r="N32" s="366"/>
    </row>
    <row r="33" spans="1:14" ht="12" customHeight="1" x14ac:dyDescent="0.2">
      <c r="A33" s="359">
        <v>35001</v>
      </c>
      <c r="B33" s="359">
        <v>35100</v>
      </c>
      <c r="C33" s="360">
        <f t="shared" ca="1" si="1"/>
        <v>0</v>
      </c>
      <c r="D33" s="361">
        <v>710</v>
      </c>
      <c r="E33" s="367"/>
      <c r="F33" s="364"/>
      <c r="G33" s="364"/>
      <c r="H33" s="364"/>
      <c r="I33" s="364"/>
      <c r="J33" s="362"/>
      <c r="K33" s="369"/>
      <c r="L33" s="365"/>
      <c r="M33" s="365"/>
      <c r="N33" s="366"/>
    </row>
    <row r="34" spans="1:14" ht="12" customHeight="1" x14ac:dyDescent="0.2">
      <c r="A34" s="359">
        <v>35101</v>
      </c>
      <c r="B34" s="359">
        <v>35200</v>
      </c>
      <c r="C34" s="360">
        <f t="shared" ca="1" si="1"/>
        <v>0</v>
      </c>
      <c r="D34" s="361">
        <v>700</v>
      </c>
      <c r="E34" s="367"/>
      <c r="F34" s="364"/>
      <c r="G34" s="364"/>
      <c r="H34" s="364"/>
      <c r="I34" s="364"/>
      <c r="J34" s="362"/>
      <c r="K34" s="369"/>
      <c r="L34" s="365"/>
      <c r="M34" s="365"/>
      <c r="N34" s="366"/>
    </row>
    <row r="35" spans="1:14" ht="12" customHeight="1" x14ac:dyDescent="0.2">
      <c r="A35" s="359">
        <v>35201</v>
      </c>
      <c r="B35" s="359">
        <v>40000</v>
      </c>
      <c r="C35" s="360">
        <f t="shared" ca="1" si="1"/>
        <v>0</v>
      </c>
      <c r="D35" s="361">
        <v>690</v>
      </c>
      <c r="E35" s="367"/>
      <c r="F35" s="364"/>
      <c r="G35" s="364"/>
      <c r="H35" s="364"/>
      <c r="I35" s="364"/>
      <c r="J35" s="362"/>
      <c r="K35" s="369"/>
      <c r="L35" s="365"/>
      <c r="M35" s="365"/>
      <c r="N35" s="366"/>
    </row>
    <row r="36" spans="1:14" ht="12" customHeight="1" x14ac:dyDescent="0.2">
      <c r="A36" s="359">
        <v>40001</v>
      </c>
      <c r="B36" s="359">
        <v>80000</v>
      </c>
      <c r="C36" s="360">
        <f ca="1">ROUND(IF(AND(C$11&lt;=$B36,C$11&gt;=$A36),$D36*ROUNDDOWN(($K$30-C11)/$L$30,4),0),2)</f>
        <v>0</v>
      </c>
      <c r="D36" s="361">
        <v>690</v>
      </c>
      <c r="E36" s="367" t="s">
        <v>168</v>
      </c>
      <c r="F36" s="364" t="s">
        <v>174</v>
      </c>
      <c r="G36" s="364"/>
      <c r="H36" s="364"/>
    </row>
    <row r="37" spans="1:14" ht="12" customHeight="1" x14ac:dyDescent="0.2">
      <c r="A37" s="359">
        <v>80001</v>
      </c>
      <c r="B37" s="359"/>
      <c r="D37" s="371" t="s">
        <v>175</v>
      </c>
    </row>
    <row r="38" spans="1:14" x14ac:dyDescent="0.2">
      <c r="A38" s="359"/>
    </row>
    <row r="39" spans="1:14" x14ac:dyDescent="0.2">
      <c r="A39" s="359"/>
      <c r="E39" s="12"/>
      <c r="F39" s="12"/>
    </row>
    <row r="40" spans="1:14" s="12" customFormat="1" ht="12" customHeight="1" x14ac:dyDescent="0.2">
      <c r="A40" s="372" t="s">
        <v>176</v>
      </c>
      <c r="B40" s="372"/>
      <c r="C40" s="372"/>
    </row>
    <row r="41" spans="1:14" s="12" customFormat="1" ht="2.25" customHeight="1" x14ac:dyDescent="0.2">
      <c r="A41" s="373"/>
      <c r="B41" s="373"/>
      <c r="C41" s="373"/>
    </row>
    <row r="42" spans="1:14" s="8" customFormat="1" ht="12" customHeight="1" x14ac:dyDescent="0.2">
      <c r="A42" s="8" t="s">
        <v>177</v>
      </c>
      <c r="C42" s="360">
        <f>$G$42*C4</f>
        <v>0</v>
      </c>
      <c r="D42" s="374" t="s">
        <v>178</v>
      </c>
      <c r="E42" s="359"/>
      <c r="F42" s="359"/>
      <c r="G42" s="375">
        <v>1220</v>
      </c>
      <c r="H42" s="376"/>
    </row>
    <row r="43" spans="1:14" s="377" customFormat="1" ht="12" customHeight="1" x14ac:dyDescent="0.2">
      <c r="A43" s="374" t="s">
        <v>179</v>
      </c>
      <c r="C43" s="360">
        <f>$G$43*C5</f>
        <v>0</v>
      </c>
      <c r="D43" s="374" t="s">
        <v>180</v>
      </c>
      <c r="G43" s="375">
        <v>950</v>
      </c>
      <c r="H43" s="376"/>
    </row>
    <row r="44" spans="1:14" s="378" customFormat="1" ht="12" customHeight="1" x14ac:dyDescent="0.2">
      <c r="A44" s="374" t="s">
        <v>181</v>
      </c>
      <c r="C44" s="360">
        <f>IF(C4+C5&gt;=4,$G$44*(C4+C5),0)</f>
        <v>0</v>
      </c>
      <c r="D44" s="380" t="s">
        <v>183</v>
      </c>
      <c r="G44" s="375">
        <v>200</v>
      </c>
      <c r="H44" s="376"/>
    </row>
    <row r="45" spans="1:14" s="379" customFormat="1" ht="12" customHeight="1" x14ac:dyDescent="0.2">
      <c r="A45" s="431" t="s">
        <v>238</v>
      </c>
      <c r="C45" s="360">
        <f>$G$45*C6</f>
        <v>0</v>
      </c>
      <c r="D45" s="374" t="s">
        <v>182</v>
      </c>
      <c r="G45" s="361">
        <v>550</v>
      </c>
      <c r="H45" s="381" t="s">
        <v>184</v>
      </c>
    </row>
    <row r="46" spans="1:14" s="379" customFormat="1" ht="12" customHeight="1" x14ac:dyDescent="0.2">
      <c r="A46" s="431" t="s">
        <v>239</v>
      </c>
      <c r="C46" s="360">
        <f>$G$45*C7</f>
        <v>0</v>
      </c>
      <c r="D46" s="374" t="s">
        <v>182</v>
      </c>
      <c r="G46" s="361">
        <v>620</v>
      </c>
      <c r="H46" s="381" t="s">
        <v>184</v>
      </c>
    </row>
    <row r="47" spans="1:14" x14ac:dyDescent="0.2">
      <c r="A47" s="382" t="s">
        <v>185</v>
      </c>
      <c r="C47" s="360"/>
    </row>
    <row r="48" spans="1:14" x14ac:dyDescent="0.2">
      <c r="A48" s="382" t="s">
        <v>186</v>
      </c>
      <c r="C48" s="360">
        <f>SUM(C42:C47)</f>
        <v>0</v>
      </c>
      <c r="D48" s="780" t="s">
        <v>187</v>
      </c>
      <c r="E48" s="780"/>
      <c r="F48" s="781" t="s">
        <v>188</v>
      </c>
      <c r="G48" s="781"/>
      <c r="H48" s="781"/>
      <c r="I48" s="781"/>
      <c r="J48" s="781"/>
      <c r="K48" s="781"/>
      <c r="L48" s="383"/>
      <c r="M48" s="383"/>
    </row>
    <row r="49" spans="1:14" x14ac:dyDescent="0.2">
      <c r="A49" s="382" t="s">
        <v>189</v>
      </c>
      <c r="C49" s="384">
        <f ca="1">(L49+M49*(N49-1)-C11)/(L49+M49*(N49-1))</f>
        <v>1</v>
      </c>
      <c r="D49" s="780"/>
      <c r="E49" s="780"/>
      <c r="F49" s="782" t="s">
        <v>190</v>
      </c>
      <c r="G49" s="782"/>
      <c r="H49" s="782"/>
      <c r="I49" s="782"/>
      <c r="J49" s="782"/>
      <c r="K49" s="782"/>
      <c r="L49" s="368">
        <v>95000</v>
      </c>
      <c r="M49" s="368">
        <v>15000</v>
      </c>
      <c r="N49" s="368">
        <f>SUM(C4:C5)</f>
        <v>0</v>
      </c>
    </row>
    <row r="50" spans="1:14" x14ac:dyDescent="0.2">
      <c r="A50" s="382" t="s">
        <v>191</v>
      </c>
      <c r="C50" s="360">
        <f ca="1">ROUND(C48*C49,2)</f>
        <v>0</v>
      </c>
      <c r="D50" s="365">
        <v>95000</v>
      </c>
      <c r="L50" s="368"/>
      <c r="M50" s="368"/>
      <c r="N50" s="368"/>
    </row>
    <row r="51" spans="1:14" x14ac:dyDescent="0.2">
      <c r="D51" s="365">
        <v>15000</v>
      </c>
      <c r="L51" s="368"/>
      <c r="M51" s="368"/>
      <c r="N51" s="368"/>
    </row>
    <row r="53" spans="1:14" x14ac:dyDescent="0.2">
      <c r="A53" s="358" t="s">
        <v>192</v>
      </c>
    </row>
    <row r="54" spans="1:14" ht="5.25" customHeight="1" x14ac:dyDescent="0.2"/>
    <row r="55" spans="1:14" ht="12" customHeight="1" x14ac:dyDescent="0.2">
      <c r="A55" s="359" t="s">
        <v>198</v>
      </c>
      <c r="B55" s="359"/>
      <c r="C55" s="385">
        <f>C8</f>
        <v>0</v>
      </c>
      <c r="D55" s="361">
        <v>750</v>
      </c>
      <c r="E55" s="367" t="s">
        <v>168</v>
      </c>
      <c r="F55" s="364" t="s">
        <v>193</v>
      </c>
      <c r="G55" s="364"/>
      <c r="H55" s="364"/>
      <c r="J55" s="368">
        <v>80000</v>
      </c>
    </row>
    <row r="56" spans="1:14" ht="12" customHeight="1" x14ac:dyDescent="0.2">
      <c r="A56" s="382" t="s">
        <v>189</v>
      </c>
      <c r="C56" s="384">
        <f ca="1">ROUNDDOWN(($J$55-C11)/$J$55,4)</f>
        <v>1</v>
      </c>
      <c r="D56" s="371"/>
    </row>
    <row r="57" spans="1:14" x14ac:dyDescent="0.2">
      <c r="A57" s="382" t="s">
        <v>199</v>
      </c>
      <c r="C57" s="360">
        <f ca="1">ROUND($D$55*C56,2)</f>
        <v>750</v>
      </c>
    </row>
    <row r="58" spans="1:14" x14ac:dyDescent="0.2">
      <c r="A58" s="382" t="s">
        <v>200</v>
      </c>
      <c r="C58" s="360">
        <f ca="1">C57*C55</f>
        <v>0</v>
      </c>
    </row>
    <row r="60" spans="1:14" x14ac:dyDescent="0.2">
      <c r="A60" t="s">
        <v>195</v>
      </c>
      <c r="F60">
        <f ca="1">ROUND(SUM(C15:C23)/Steuern!D108*Steuern!F107,2)</f>
        <v>0</v>
      </c>
    </row>
    <row r="61" spans="1:14" x14ac:dyDescent="0.2">
      <c r="A61" t="s">
        <v>171</v>
      </c>
      <c r="F61">
        <f>IF(C3="ja",ROUND(SUM(C28:C37)/Steuern!A107*Steuern!C107,2),0)</f>
        <v>0</v>
      </c>
    </row>
    <row r="62" spans="1:14" x14ac:dyDescent="0.2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H1" sqref="H1"/>
    </sheetView>
  </sheetViews>
  <sheetFormatPr baseColWidth="10" defaultColWidth="11.5703125" defaultRowHeight="12.75" x14ac:dyDescent="0.2"/>
  <cols>
    <col min="1" max="1" width="4.85546875" style="3" customWidth="1"/>
    <col min="2" max="3" width="5.28515625" style="3" customWidth="1"/>
    <col min="4" max="4" width="9.5703125" style="3" customWidth="1"/>
    <col min="5" max="5" width="9.140625" style="3" customWidth="1"/>
    <col min="6" max="6" width="9.5703125" style="3" customWidth="1"/>
    <col min="7" max="9" width="11.5703125" style="3" customWidth="1"/>
    <col min="10" max="10" width="8.7109375" style="3" customWidth="1"/>
    <col min="11" max="11" width="8.5703125" style="3" customWidth="1"/>
    <col min="12" max="16384" width="11.5703125" style="3"/>
  </cols>
  <sheetData>
    <row r="1" spans="1:14" ht="15.75" x14ac:dyDescent="0.2">
      <c r="A1" s="202" t="str">
        <f>'01'!G3</f>
        <v>Mustermann Max</v>
      </c>
      <c r="H1" s="279" t="s">
        <v>267</v>
      </c>
    </row>
    <row r="2" spans="1:14" ht="12" customHeight="1" x14ac:dyDescent="0.2"/>
    <row r="3" spans="1:14" ht="12" customHeight="1" x14ac:dyDescent="0.2"/>
    <row r="4" spans="1:14" x14ac:dyDescent="0.2">
      <c r="A4" s="13" t="s">
        <v>56</v>
      </c>
    </row>
    <row r="6" spans="1:14" x14ac:dyDescent="0.2">
      <c r="A6" s="13" t="s">
        <v>57</v>
      </c>
    </row>
    <row r="7" spans="1:14" ht="4.1500000000000004" customHeight="1" x14ac:dyDescent="0.2"/>
    <row r="8" spans="1:14" s="34" customFormat="1" ht="28.5" customHeight="1" x14ac:dyDescent="0.2">
      <c r="A8" s="792" t="s">
        <v>58</v>
      </c>
      <c r="B8" s="792" t="s">
        <v>59</v>
      </c>
      <c r="C8" s="792" t="s">
        <v>60</v>
      </c>
      <c r="D8" s="792" t="s">
        <v>61</v>
      </c>
      <c r="E8" s="792" t="s">
        <v>62</v>
      </c>
      <c r="F8" s="792" t="s">
        <v>63</v>
      </c>
    </row>
    <row r="9" spans="1:14" s="34" customFormat="1" ht="28.5" customHeight="1" x14ac:dyDescent="0.2">
      <c r="A9" s="792"/>
      <c r="B9" s="792"/>
      <c r="C9" s="793"/>
      <c r="D9" s="792"/>
      <c r="E9" s="792"/>
      <c r="F9" s="792"/>
    </row>
    <row r="10" spans="1:14" s="36" customFormat="1" ht="21.75" customHeight="1" x14ac:dyDescent="0.2">
      <c r="A10" s="37">
        <v>2003</v>
      </c>
      <c r="B10" s="37">
        <v>12</v>
      </c>
      <c r="C10" s="37">
        <v>365</v>
      </c>
      <c r="D10" s="38">
        <v>3000</v>
      </c>
      <c r="E10" s="38">
        <v>4500</v>
      </c>
      <c r="F10" s="38">
        <v>26000</v>
      </c>
    </row>
    <row r="11" spans="1:14" s="36" customFormat="1" ht="12" x14ac:dyDescent="0.2"/>
    <row r="12" spans="1:14" s="36" customFormat="1" ht="12" x14ac:dyDescent="0.2"/>
    <row r="13" spans="1:14" s="34" customFormat="1" ht="39" customHeight="1" x14ac:dyDescent="0.2">
      <c r="A13" s="786" t="s">
        <v>64</v>
      </c>
      <c r="B13" s="786" t="s">
        <v>84</v>
      </c>
      <c r="C13" s="786" t="s">
        <v>85</v>
      </c>
      <c r="D13" s="786" t="s">
        <v>135</v>
      </c>
      <c r="E13" s="786" t="s">
        <v>86</v>
      </c>
      <c r="F13" s="786" t="s">
        <v>87</v>
      </c>
      <c r="G13" s="786" t="s">
        <v>65</v>
      </c>
      <c r="H13" s="786" t="s">
        <v>66</v>
      </c>
      <c r="I13" s="786" t="s">
        <v>67</v>
      </c>
      <c r="J13" s="786" t="s">
        <v>68</v>
      </c>
      <c r="K13" s="786" t="s">
        <v>69</v>
      </c>
      <c r="L13" s="797" t="s">
        <v>71</v>
      </c>
      <c r="M13" s="786" t="s">
        <v>70</v>
      </c>
      <c r="N13" s="786" t="s">
        <v>70</v>
      </c>
    </row>
    <row r="14" spans="1:14" s="34" customFormat="1" ht="39" customHeight="1" x14ac:dyDescent="0.2">
      <c r="A14" s="787"/>
      <c r="B14" s="787"/>
      <c r="C14" s="787"/>
      <c r="D14" s="787"/>
      <c r="E14" s="787"/>
      <c r="F14" s="788"/>
      <c r="G14" s="794"/>
      <c r="H14" s="794"/>
      <c r="I14" s="794"/>
      <c r="J14" s="794"/>
      <c r="K14" s="794"/>
      <c r="L14" s="798"/>
      <c r="M14" s="794"/>
      <c r="N14" s="794"/>
    </row>
    <row r="15" spans="1:14" s="36" customFormat="1" ht="13.9" customHeight="1" x14ac:dyDescent="0.2">
      <c r="A15" s="43">
        <v>1</v>
      </c>
      <c r="B15" s="43">
        <f t="shared" ref="B15:B28" ca="1" si="0">IF(A15&gt;12,0,IF(G15=0,0,1))</f>
        <v>0</v>
      </c>
      <c r="C15" s="43">
        <f ca="1">B15</f>
        <v>0</v>
      </c>
      <c r="D15" s="43">
        <v>31</v>
      </c>
      <c r="E15" s="43">
        <f ca="1">IF('01'!$R$9="",IF(G15=0,0,D15),'01'!$R$9)</f>
        <v>0</v>
      </c>
      <c r="F15" s="43">
        <f ca="1">E15</f>
        <v>0</v>
      </c>
      <c r="G15" s="44">
        <f ca="1">'01'!$H$38</f>
        <v>0</v>
      </c>
      <c r="H15" s="44">
        <f ca="1">G15</f>
        <v>0</v>
      </c>
      <c r="I15" s="45">
        <f t="shared" ref="I15:I20" ca="1" si="1">IF(G15=0,0,ROUNDDOWN(IF($A15&gt;12,0,(($F$10/$B$10+$D$10/$B$10)*$C15+$E$10/$C$10*$F15-$H15)/($F$10/$B$10*$C15)),4))</f>
        <v>0</v>
      </c>
      <c r="J15" s="44">
        <f ca="1">IF(A15&gt;12,0,ROUND($D$10/$B$10*C15+$E$10/$C$10*F15,2))</f>
        <v>0</v>
      </c>
      <c r="K15" s="44">
        <f ca="1">IF(G15=0,0,IF(I15&gt;1,J15,IF(I15&lt;0,0,ROUND(J15*I15,2))))</f>
        <v>0</v>
      </c>
      <c r="L15" s="46">
        <f ca="1">IF(G15=0,0,IF(K15&gt;G15,G15,K15))</f>
        <v>0</v>
      </c>
      <c r="M15" s="44">
        <f ca="1">IF(G15=0,0,L15)</f>
        <v>0</v>
      </c>
      <c r="N15" s="44">
        <f ca="1">IF(H15=0,0,M15)</f>
        <v>0</v>
      </c>
    </row>
    <row r="16" spans="1:14" s="36" customFormat="1" ht="13.9" customHeight="1" x14ac:dyDescent="0.2">
      <c r="A16" s="47">
        <v>2</v>
      </c>
      <c r="B16" s="47">
        <f t="shared" ca="1" si="0"/>
        <v>0</v>
      </c>
      <c r="C16" s="47">
        <f ca="1">C15+B16</f>
        <v>0</v>
      </c>
      <c r="D16" s="47">
        <v>28</v>
      </c>
      <c r="E16" s="47">
        <f ca="1">IF('02'!$R$9="",IF(G16=0,0,D16),'02'!$R$9)</f>
        <v>0</v>
      </c>
      <c r="F16" s="47">
        <f ca="1">F15+E16</f>
        <v>0</v>
      </c>
      <c r="G16" s="48">
        <f ca="1">'02'!$H$38</f>
        <v>0</v>
      </c>
      <c r="H16" s="48">
        <f ca="1">H15+G16</f>
        <v>0</v>
      </c>
      <c r="I16" s="49">
        <f t="shared" ca="1" si="1"/>
        <v>0</v>
      </c>
      <c r="J16" s="48">
        <f t="shared" ref="J16:J28" ca="1" si="2">IF(A16&gt;12,0,ROUND($D$10/$B$10*C16+$E$10/$C$10*F16,2))</f>
        <v>0</v>
      </c>
      <c r="K16" s="48">
        <f t="shared" ref="K16:K28" ca="1" si="3">IF(G16=0,0,IF(I16&gt;1,J16,IF(I16&lt;0,0,ROUND(J16*I16,2))))</f>
        <v>0</v>
      </c>
      <c r="L16" s="50">
        <f t="shared" ref="L16:L28" ca="1" si="4">IF(D16=0,0,IF(G16=0,0,IF((K16-M15)&gt;G16,G16,IF(K15=0,K16-K14,K16-K15))))</f>
        <v>0</v>
      </c>
      <c r="M16" s="48">
        <f t="shared" ref="M16:M28" ca="1" si="5">IF(G16=0,0,M15+L16)</f>
        <v>0</v>
      </c>
      <c r="N16" s="48">
        <f ca="1">IF(H16=0,0,N15+L16)</f>
        <v>0</v>
      </c>
    </row>
    <row r="17" spans="1:14" s="36" customFormat="1" ht="13.9" customHeight="1" x14ac:dyDescent="0.2">
      <c r="A17" s="47">
        <v>3</v>
      </c>
      <c r="B17" s="47">
        <f t="shared" ca="1" si="0"/>
        <v>0</v>
      </c>
      <c r="C17" s="47">
        <f t="shared" ref="C17:C28" ca="1" si="6">C16+B17</f>
        <v>0</v>
      </c>
      <c r="D17" s="47">
        <v>31</v>
      </c>
      <c r="E17" s="47">
        <f ca="1">IF('03'!$R$9="",IF(G17=0,0,D17),'03'!$R$9)</f>
        <v>0</v>
      </c>
      <c r="F17" s="47">
        <f t="shared" ref="F17:F28" ca="1" si="7">F16+E17</f>
        <v>0</v>
      </c>
      <c r="G17" s="48">
        <f ca="1">'03'!$H$38</f>
        <v>0</v>
      </c>
      <c r="H17" s="48">
        <f t="shared" ref="H17:H28" ca="1" si="8">H16+G17</f>
        <v>0</v>
      </c>
      <c r="I17" s="49">
        <f t="shared" ca="1" si="1"/>
        <v>0</v>
      </c>
      <c r="J17" s="48">
        <f t="shared" ca="1" si="2"/>
        <v>0</v>
      </c>
      <c r="K17" s="48">
        <f t="shared" ca="1" si="3"/>
        <v>0</v>
      </c>
      <c r="L17" s="50">
        <f t="shared" ca="1" si="4"/>
        <v>0</v>
      </c>
      <c r="M17" s="48">
        <f t="shared" ca="1" si="5"/>
        <v>0</v>
      </c>
      <c r="N17" s="48">
        <f ca="1">IF(H17=0,0,N16+L17)</f>
        <v>0</v>
      </c>
    </row>
    <row r="18" spans="1:14" s="36" customFormat="1" ht="13.9" customHeight="1" x14ac:dyDescent="0.2">
      <c r="A18" s="47">
        <v>4</v>
      </c>
      <c r="B18" s="47">
        <f t="shared" ca="1" si="0"/>
        <v>0</v>
      </c>
      <c r="C18" s="47">
        <f t="shared" ca="1" si="6"/>
        <v>0</v>
      </c>
      <c r="D18" s="47">
        <v>30</v>
      </c>
      <c r="E18" s="47">
        <f ca="1">IF('04'!$R$9="",IF(G18=0,0,D18),'04'!$R$9)</f>
        <v>0</v>
      </c>
      <c r="F18" s="47">
        <f t="shared" ca="1" si="7"/>
        <v>0</v>
      </c>
      <c r="G18" s="48">
        <f ca="1">'04'!$H$38</f>
        <v>0</v>
      </c>
      <c r="H18" s="48">
        <f ca="1">H17+G18</f>
        <v>0</v>
      </c>
      <c r="I18" s="49">
        <f t="shared" ca="1" si="1"/>
        <v>0</v>
      </c>
      <c r="J18" s="48">
        <f t="shared" ca="1" si="2"/>
        <v>0</v>
      </c>
      <c r="K18" s="48">
        <f ca="1">IF(G18=0,0,IF(I18&gt;1,J18,IF(I18&lt;0,0,ROUND(J18*I18,2))))</f>
        <v>0</v>
      </c>
      <c r="L18" s="50">
        <f t="shared" ca="1" si="4"/>
        <v>0</v>
      </c>
      <c r="M18" s="48">
        <f t="shared" ca="1" si="5"/>
        <v>0</v>
      </c>
      <c r="N18" s="48">
        <f t="shared" ref="N18:N28" ca="1" si="9">IF(H18=0,0,N17+L18)</f>
        <v>0</v>
      </c>
    </row>
    <row r="19" spans="1:14" s="36" customFormat="1" ht="13.9" customHeight="1" x14ac:dyDescent="0.2">
      <c r="A19" s="47">
        <v>5</v>
      </c>
      <c r="B19" s="47">
        <f t="shared" ca="1" si="0"/>
        <v>0</v>
      </c>
      <c r="C19" s="47">
        <f t="shared" ca="1" si="6"/>
        <v>0</v>
      </c>
      <c r="D19" s="47">
        <v>31</v>
      </c>
      <c r="E19" s="47">
        <f ca="1">IF('05'!$R$9="",IF(G19=0,0,D19),'05'!$R$9)</f>
        <v>0</v>
      </c>
      <c r="F19" s="47">
        <f t="shared" ca="1" si="7"/>
        <v>0</v>
      </c>
      <c r="G19" s="48">
        <f ca="1">'05'!$H$38</f>
        <v>0</v>
      </c>
      <c r="H19" s="48">
        <f t="shared" ca="1" si="8"/>
        <v>0</v>
      </c>
      <c r="I19" s="49">
        <f t="shared" ca="1" si="1"/>
        <v>0</v>
      </c>
      <c r="J19" s="48">
        <f t="shared" ca="1" si="2"/>
        <v>0</v>
      </c>
      <c r="K19" s="48">
        <f t="shared" ca="1" si="3"/>
        <v>0</v>
      </c>
      <c r="L19" s="50">
        <f t="shared" ca="1" si="4"/>
        <v>0</v>
      </c>
      <c r="M19" s="48">
        <f t="shared" ca="1" si="5"/>
        <v>0</v>
      </c>
      <c r="N19" s="48">
        <f t="shared" ca="1" si="9"/>
        <v>0</v>
      </c>
    </row>
    <row r="20" spans="1:14" s="36" customFormat="1" ht="13.9" customHeight="1" x14ac:dyDescent="0.2">
      <c r="A20" s="47">
        <v>6</v>
      </c>
      <c r="B20" s="47">
        <f t="shared" ca="1" si="0"/>
        <v>0</v>
      </c>
      <c r="C20" s="47">
        <f t="shared" ca="1" si="6"/>
        <v>0</v>
      </c>
      <c r="D20" s="47">
        <v>30</v>
      </c>
      <c r="E20" s="47">
        <f ca="1">IF('06'!$R$9="",IF(G20=0,0,D20),'06'!$R$9)</f>
        <v>0</v>
      </c>
      <c r="F20" s="47">
        <f t="shared" ca="1" si="7"/>
        <v>0</v>
      </c>
      <c r="G20" s="48">
        <f ca="1">'06'!$H$38</f>
        <v>0</v>
      </c>
      <c r="H20" s="48">
        <f t="shared" ca="1" si="8"/>
        <v>0</v>
      </c>
      <c r="I20" s="49">
        <f t="shared" ca="1" si="1"/>
        <v>0</v>
      </c>
      <c r="J20" s="48">
        <f t="shared" ca="1" si="2"/>
        <v>0</v>
      </c>
      <c r="K20" s="48">
        <f t="shared" ca="1" si="3"/>
        <v>0</v>
      </c>
      <c r="L20" s="50">
        <f t="shared" ca="1" si="4"/>
        <v>0</v>
      </c>
      <c r="M20" s="48">
        <f t="shared" ca="1" si="5"/>
        <v>0</v>
      </c>
      <c r="N20" s="48">
        <f t="shared" ca="1" si="9"/>
        <v>0</v>
      </c>
    </row>
    <row r="21" spans="1:14" s="36" customFormat="1" ht="13.9" customHeight="1" x14ac:dyDescent="0.2">
      <c r="A21" s="47">
        <v>14</v>
      </c>
      <c r="B21" s="47">
        <f t="shared" si="0"/>
        <v>0</v>
      </c>
      <c r="C21" s="47">
        <f t="shared" ca="1" si="6"/>
        <v>0</v>
      </c>
      <c r="D21" s="47">
        <v>0</v>
      </c>
      <c r="E21" s="47">
        <f ca="1">IF(G21=0,0,D21)</f>
        <v>0</v>
      </c>
      <c r="F21" s="47">
        <f t="shared" ca="1" si="7"/>
        <v>0</v>
      </c>
      <c r="G21" s="48">
        <f ca="1">'14'!$H$38</f>
        <v>0</v>
      </c>
      <c r="H21" s="48">
        <f t="shared" ca="1" si="8"/>
        <v>0</v>
      </c>
      <c r="I21" s="49">
        <f t="shared" ref="I21:I28" ca="1" si="10">IF(G21=0,0,ROUNDDOWN(IF($A21&gt;12,0,(($F$10/$B$10+$D$10/$B$10)*$C21+$E$10/$C$10*$F21-$H21)/($F$10/$B$10*$C21)),4))</f>
        <v>0</v>
      </c>
      <c r="J21" s="48">
        <f t="shared" si="2"/>
        <v>0</v>
      </c>
      <c r="K21" s="48">
        <f ca="1">IF(G21=0,0,IF(I21&gt;1,J21,IF(I21&lt;0,0,ROUND(J21*I21,2))))</f>
        <v>0</v>
      </c>
      <c r="L21" s="50">
        <f t="shared" si="4"/>
        <v>0</v>
      </c>
      <c r="M21" s="48">
        <f t="shared" ca="1" si="5"/>
        <v>0</v>
      </c>
      <c r="N21" s="48">
        <f t="shared" ca="1" si="9"/>
        <v>0</v>
      </c>
    </row>
    <row r="22" spans="1:14" s="36" customFormat="1" ht="13.9" customHeight="1" x14ac:dyDescent="0.2">
      <c r="A22" s="47">
        <v>7</v>
      </c>
      <c r="B22" s="47">
        <f t="shared" ca="1" si="0"/>
        <v>0</v>
      </c>
      <c r="C22" s="47">
        <f t="shared" ca="1" si="6"/>
        <v>0</v>
      </c>
      <c r="D22" s="47">
        <v>31</v>
      </c>
      <c r="E22" s="47">
        <f ca="1">IF('07'!$R$9="",IF(G22=0,0,D22),'07'!$R$9)</f>
        <v>0</v>
      </c>
      <c r="F22" s="47">
        <f t="shared" ca="1" si="7"/>
        <v>0</v>
      </c>
      <c r="G22" s="48">
        <f ca="1">'07'!$H$38</f>
        <v>0</v>
      </c>
      <c r="H22" s="48">
        <f t="shared" ca="1" si="8"/>
        <v>0</v>
      </c>
      <c r="I22" s="49">
        <f t="shared" ca="1" si="10"/>
        <v>0</v>
      </c>
      <c r="J22" s="48">
        <f t="shared" ca="1" si="2"/>
        <v>0</v>
      </c>
      <c r="K22" s="48">
        <f t="shared" ca="1" si="3"/>
        <v>0</v>
      </c>
      <c r="L22" s="50">
        <f t="shared" ca="1" si="4"/>
        <v>0</v>
      </c>
      <c r="M22" s="48">
        <f t="shared" ca="1" si="5"/>
        <v>0</v>
      </c>
      <c r="N22" s="48">
        <f t="shared" ca="1" si="9"/>
        <v>0</v>
      </c>
    </row>
    <row r="23" spans="1:14" s="36" customFormat="1" ht="13.9" customHeight="1" x14ac:dyDescent="0.2">
      <c r="A23" s="47">
        <v>8</v>
      </c>
      <c r="B23" s="47">
        <f t="shared" ca="1" si="0"/>
        <v>0</v>
      </c>
      <c r="C23" s="47">
        <f t="shared" ca="1" si="6"/>
        <v>0</v>
      </c>
      <c r="D23" s="47">
        <v>31</v>
      </c>
      <c r="E23" s="47">
        <f ca="1">IF('08'!$R$9="",IF(G23=0,0,D23),'08'!$R$9)</f>
        <v>0</v>
      </c>
      <c r="F23" s="47">
        <f t="shared" ca="1" si="7"/>
        <v>0</v>
      </c>
      <c r="G23" s="48">
        <f ca="1">'08'!$H$38</f>
        <v>0</v>
      </c>
      <c r="H23" s="48">
        <f t="shared" ca="1" si="8"/>
        <v>0</v>
      </c>
      <c r="I23" s="49">
        <f t="shared" ca="1" si="10"/>
        <v>0</v>
      </c>
      <c r="J23" s="48">
        <f t="shared" ca="1" si="2"/>
        <v>0</v>
      </c>
      <c r="K23" s="48">
        <f t="shared" ca="1" si="3"/>
        <v>0</v>
      </c>
      <c r="L23" s="50">
        <f t="shared" ca="1" si="4"/>
        <v>0</v>
      </c>
      <c r="M23" s="48">
        <f t="shared" ca="1" si="5"/>
        <v>0</v>
      </c>
      <c r="N23" s="48">
        <f t="shared" ca="1" si="9"/>
        <v>0</v>
      </c>
    </row>
    <row r="24" spans="1:14" s="36" customFormat="1" ht="13.9" customHeight="1" x14ac:dyDescent="0.2">
      <c r="A24" s="47">
        <v>9</v>
      </c>
      <c r="B24" s="47">
        <f t="shared" ca="1" si="0"/>
        <v>0</v>
      </c>
      <c r="C24" s="47">
        <f t="shared" ca="1" si="6"/>
        <v>0</v>
      </c>
      <c r="D24" s="47">
        <v>30</v>
      </c>
      <c r="E24" s="47">
        <f ca="1">IF('09'!$R$9="",IF(G24=0,0,D24),'09'!$R$9)</f>
        <v>0</v>
      </c>
      <c r="F24" s="47">
        <f t="shared" ca="1" si="7"/>
        <v>0</v>
      </c>
      <c r="G24" s="48">
        <f ca="1">'09'!$H$38</f>
        <v>0</v>
      </c>
      <c r="H24" s="48">
        <f t="shared" ca="1" si="8"/>
        <v>0</v>
      </c>
      <c r="I24" s="49">
        <f t="shared" ca="1" si="10"/>
        <v>0</v>
      </c>
      <c r="J24" s="48">
        <f t="shared" ca="1" si="2"/>
        <v>0</v>
      </c>
      <c r="K24" s="48">
        <f t="shared" ca="1" si="3"/>
        <v>0</v>
      </c>
      <c r="L24" s="50">
        <f t="shared" ca="1" si="4"/>
        <v>0</v>
      </c>
      <c r="M24" s="48">
        <f t="shared" ca="1" si="5"/>
        <v>0</v>
      </c>
      <c r="N24" s="48">
        <f t="shared" ca="1" si="9"/>
        <v>0</v>
      </c>
    </row>
    <row r="25" spans="1:14" s="36" customFormat="1" ht="13.9" customHeight="1" x14ac:dyDescent="0.2">
      <c r="A25" s="47">
        <v>10</v>
      </c>
      <c r="B25" s="47">
        <f t="shared" ca="1" si="0"/>
        <v>0</v>
      </c>
      <c r="C25" s="47">
        <f t="shared" ca="1" si="6"/>
        <v>0</v>
      </c>
      <c r="D25" s="47">
        <v>31</v>
      </c>
      <c r="E25" s="47">
        <f ca="1">IF('10'!$R$9="",IF(G25=0,0,D25),'10'!$R$9)</f>
        <v>0</v>
      </c>
      <c r="F25" s="47">
        <f t="shared" ca="1" si="7"/>
        <v>0</v>
      </c>
      <c r="G25" s="48">
        <f ca="1">'10'!$H$38</f>
        <v>0</v>
      </c>
      <c r="H25" s="48">
        <f t="shared" ca="1" si="8"/>
        <v>0</v>
      </c>
      <c r="I25" s="49">
        <f t="shared" ca="1" si="10"/>
        <v>0</v>
      </c>
      <c r="J25" s="48">
        <f t="shared" ca="1" si="2"/>
        <v>0</v>
      </c>
      <c r="K25" s="48">
        <f t="shared" ca="1" si="3"/>
        <v>0</v>
      </c>
      <c r="L25" s="50">
        <f t="shared" ca="1" si="4"/>
        <v>0</v>
      </c>
      <c r="M25" s="48">
        <f t="shared" ca="1" si="5"/>
        <v>0</v>
      </c>
      <c r="N25" s="48">
        <f t="shared" ca="1" si="9"/>
        <v>0</v>
      </c>
    </row>
    <row r="26" spans="1:14" s="36" customFormat="1" ht="13.9" customHeight="1" x14ac:dyDescent="0.2">
      <c r="A26" s="47">
        <v>11</v>
      </c>
      <c r="B26" s="47">
        <f t="shared" ca="1" si="0"/>
        <v>0</v>
      </c>
      <c r="C26" s="47">
        <f t="shared" ca="1" si="6"/>
        <v>0</v>
      </c>
      <c r="D26" s="47">
        <v>30</v>
      </c>
      <c r="E26" s="47">
        <f ca="1">IF('11'!$R$9="",IF(G26=0,0,D26),'11'!$R$9)</f>
        <v>0</v>
      </c>
      <c r="F26" s="47">
        <f t="shared" ca="1" si="7"/>
        <v>0</v>
      </c>
      <c r="G26" s="48">
        <f ca="1">'11'!$H$38</f>
        <v>0</v>
      </c>
      <c r="H26" s="48">
        <f t="shared" ca="1" si="8"/>
        <v>0</v>
      </c>
      <c r="I26" s="49">
        <f t="shared" ca="1" si="10"/>
        <v>0</v>
      </c>
      <c r="J26" s="48">
        <f t="shared" ca="1" si="2"/>
        <v>0</v>
      </c>
      <c r="K26" s="48">
        <f t="shared" ca="1" si="3"/>
        <v>0</v>
      </c>
      <c r="L26" s="50">
        <f t="shared" ca="1" si="4"/>
        <v>0</v>
      </c>
      <c r="M26" s="48">
        <f t="shared" ca="1" si="5"/>
        <v>0</v>
      </c>
      <c r="N26" s="48">
        <f t="shared" ca="1" si="9"/>
        <v>0</v>
      </c>
    </row>
    <row r="27" spans="1:14" s="36" customFormat="1" ht="13.9" customHeight="1" x14ac:dyDescent="0.2">
      <c r="A27" s="47">
        <v>13</v>
      </c>
      <c r="B27" s="47">
        <f t="shared" si="0"/>
        <v>0</v>
      </c>
      <c r="C27" s="47">
        <f t="shared" ca="1" si="6"/>
        <v>0</v>
      </c>
      <c r="D27" s="47">
        <v>0</v>
      </c>
      <c r="E27" s="47">
        <f ca="1">IF(G27=0,0,D27)</f>
        <v>0</v>
      </c>
      <c r="F27" s="47">
        <f t="shared" ca="1" si="7"/>
        <v>0</v>
      </c>
      <c r="G27" s="48">
        <f ca="1">'13'!$H$38</f>
        <v>0</v>
      </c>
      <c r="H27" s="48">
        <f t="shared" ca="1" si="8"/>
        <v>0</v>
      </c>
      <c r="I27" s="49">
        <f t="shared" ca="1" si="10"/>
        <v>0</v>
      </c>
      <c r="J27" s="48">
        <f t="shared" si="2"/>
        <v>0</v>
      </c>
      <c r="K27" s="48">
        <f t="shared" ca="1" si="3"/>
        <v>0</v>
      </c>
      <c r="L27" s="50">
        <f t="shared" si="4"/>
        <v>0</v>
      </c>
      <c r="M27" s="48">
        <f t="shared" ca="1" si="5"/>
        <v>0</v>
      </c>
      <c r="N27" s="48">
        <f t="shared" ca="1" si="9"/>
        <v>0</v>
      </c>
    </row>
    <row r="28" spans="1:14" s="36" customFormat="1" ht="13.9" customHeight="1" x14ac:dyDescent="0.2">
      <c r="A28" s="51">
        <v>12</v>
      </c>
      <c r="B28" s="51">
        <f t="shared" ca="1" si="0"/>
        <v>0</v>
      </c>
      <c r="C28" s="51">
        <f t="shared" ca="1" si="6"/>
        <v>0</v>
      </c>
      <c r="D28" s="51">
        <v>31</v>
      </c>
      <c r="E28" s="51">
        <f ca="1">IF('12'!$R$9="",IF(G28=0,0,D28),'12'!$R$9)</f>
        <v>0</v>
      </c>
      <c r="F28" s="51">
        <f t="shared" ca="1" si="7"/>
        <v>0</v>
      </c>
      <c r="G28" s="52">
        <f ca="1">'12'!$H$38</f>
        <v>0</v>
      </c>
      <c r="H28" s="52">
        <f t="shared" ca="1" si="8"/>
        <v>0</v>
      </c>
      <c r="I28" s="53">
        <f t="shared" ca="1" si="10"/>
        <v>0</v>
      </c>
      <c r="J28" s="52">
        <f t="shared" ca="1" si="2"/>
        <v>0</v>
      </c>
      <c r="K28" s="52">
        <f t="shared" ca="1" si="3"/>
        <v>0</v>
      </c>
      <c r="L28" s="54">
        <f t="shared" ca="1" si="4"/>
        <v>0</v>
      </c>
      <c r="M28" s="52">
        <f t="shared" ca="1" si="5"/>
        <v>0</v>
      </c>
      <c r="N28" s="52">
        <f t="shared" ca="1" si="9"/>
        <v>0</v>
      </c>
    </row>
    <row r="29" spans="1:14" s="36" customFormat="1" ht="9" customHeight="1" x14ac:dyDescent="0.2">
      <c r="H29" s="35"/>
      <c r="I29" s="35"/>
    </row>
    <row r="30" spans="1:14" s="36" customFormat="1" ht="18" customHeight="1" x14ac:dyDescent="0.2">
      <c r="A30" s="123" t="s">
        <v>91</v>
      </c>
      <c r="I30" s="123" t="s">
        <v>91</v>
      </c>
    </row>
    <row r="31" spans="1:14" s="36" customFormat="1" ht="18" customHeight="1" x14ac:dyDescent="0.2">
      <c r="A31" s="13" t="s">
        <v>92</v>
      </c>
      <c r="E31" s="203">
        <f ca="1">IF(H28=0,0,ROUNDDOWN((D10/B10*C28+E10/C10*F28+F10/B10*C28-H28)/(F10/B10*C28),4))</f>
        <v>0</v>
      </c>
      <c r="I31" s="13" t="s">
        <v>92</v>
      </c>
      <c r="M31" s="203"/>
    </row>
    <row r="32" spans="1:14" s="36" customFormat="1" ht="18" customHeight="1" x14ac:dyDescent="0.2">
      <c r="A32" s="13" t="s">
        <v>93</v>
      </c>
      <c r="E32" s="203">
        <f ca="1">ROUND((D10/B10*C28+E10/C10*F28)*E31,2)</f>
        <v>0</v>
      </c>
      <c r="I32" s="13" t="s">
        <v>93</v>
      </c>
      <c r="M32" s="203"/>
    </row>
    <row r="33" spans="1:18" s="36" customFormat="1" ht="18" customHeight="1" x14ac:dyDescent="0.2">
      <c r="I33" s="35"/>
    </row>
    <row r="34" spans="1:18" s="36" customFormat="1" ht="18" customHeight="1" x14ac:dyDescent="0.2">
      <c r="I34" s="35"/>
    </row>
    <row r="35" spans="1:18" s="36" customFormat="1" ht="18" customHeight="1" x14ac:dyDescent="0.2">
      <c r="A35" s="202" t="str">
        <f>A1</f>
        <v>Mustermann Max</v>
      </c>
      <c r="H35" s="279" t="str">
        <f>H1</f>
        <v>Jahr / Anno 2019</v>
      </c>
      <c r="I35" s="35"/>
    </row>
    <row r="36" spans="1:18" s="36" customFormat="1" ht="18" customHeight="1" x14ac:dyDescent="0.2">
      <c r="I36" s="35"/>
    </row>
    <row r="37" spans="1:18" s="36" customFormat="1" ht="18" customHeight="1" x14ac:dyDescent="0.2">
      <c r="I37" s="35"/>
    </row>
    <row r="38" spans="1:18" s="36" customFormat="1" ht="15" customHeight="1" x14ac:dyDescent="0.2">
      <c r="A38" s="13" t="s">
        <v>76</v>
      </c>
      <c r="H38" s="13" t="s">
        <v>80</v>
      </c>
      <c r="I38" s="9"/>
      <c r="J38" s="3"/>
      <c r="K38" s="3"/>
      <c r="L38" s="13" t="s">
        <v>81</v>
      </c>
      <c r="N38" s="9"/>
      <c r="O38" s="3"/>
      <c r="P38" s="13" t="s">
        <v>150</v>
      </c>
      <c r="R38" s="9"/>
    </row>
    <row r="39" spans="1:18" s="9" customFormat="1" ht="13.15" customHeight="1" x14ac:dyDescent="0.2">
      <c r="A39" s="13" t="s">
        <v>72</v>
      </c>
      <c r="H39" s="13" t="s">
        <v>83</v>
      </c>
      <c r="J39" s="3"/>
      <c r="K39" s="3"/>
      <c r="L39" s="13" t="s">
        <v>82</v>
      </c>
      <c r="O39" s="3"/>
      <c r="P39" s="13" t="s">
        <v>151</v>
      </c>
    </row>
    <row r="40" spans="1:18" s="9" customFormat="1" ht="13.15" customHeight="1" x14ac:dyDescent="0.2">
      <c r="A40" s="13" t="s">
        <v>77</v>
      </c>
      <c r="H40" s="13" t="s">
        <v>79</v>
      </c>
      <c r="J40" s="795">
        <f>'01'!H45</f>
        <v>0</v>
      </c>
      <c r="K40" s="3"/>
      <c r="L40" s="13" t="s">
        <v>79</v>
      </c>
      <c r="N40" s="795">
        <f>'01'!H48</f>
        <v>0</v>
      </c>
      <c r="P40" s="807">
        <v>30</v>
      </c>
      <c r="Q40" s="808"/>
      <c r="R40" s="795">
        <f>ROUND(N40*P40%,2)</f>
        <v>0</v>
      </c>
    </row>
    <row r="41" spans="1:18" s="9" customFormat="1" ht="13.15" customHeight="1" x14ac:dyDescent="0.2">
      <c r="H41" s="13" t="s">
        <v>78</v>
      </c>
      <c r="J41" s="796"/>
      <c r="K41" s="3"/>
      <c r="L41" s="13" t="s">
        <v>78</v>
      </c>
      <c r="N41" s="796"/>
      <c r="O41" s="195"/>
      <c r="P41" s="809">
        <v>30</v>
      </c>
      <c r="Q41" s="810"/>
      <c r="R41" s="796"/>
    </row>
    <row r="42" spans="1:18" s="36" customFormat="1" x14ac:dyDescent="0.2">
      <c r="H42" s="13"/>
      <c r="I42" s="9"/>
      <c r="J42" s="3"/>
      <c r="K42" s="3"/>
      <c r="M42" s="13"/>
      <c r="N42" s="9"/>
      <c r="O42" s="3"/>
      <c r="Q42" s="13"/>
      <c r="R42" s="9"/>
    </row>
    <row r="43" spans="1:18" s="36" customFormat="1" ht="36" customHeight="1" x14ac:dyDescent="0.2">
      <c r="A43" s="786" t="s">
        <v>64</v>
      </c>
      <c r="B43" s="785" t="s">
        <v>66</v>
      </c>
      <c r="C43" s="790"/>
      <c r="D43" s="786" t="s">
        <v>73</v>
      </c>
      <c r="E43" s="786" t="s">
        <v>74</v>
      </c>
      <c r="F43" s="786" t="s">
        <v>75</v>
      </c>
      <c r="H43" s="786" t="s">
        <v>90</v>
      </c>
      <c r="I43" s="786" t="s">
        <v>88</v>
      </c>
      <c r="J43" s="786" t="s">
        <v>89</v>
      </c>
      <c r="K43" s="3"/>
      <c r="L43" s="786" t="s">
        <v>64</v>
      </c>
      <c r="M43" s="786" t="s">
        <v>88</v>
      </c>
      <c r="N43" s="786" t="s">
        <v>89</v>
      </c>
      <c r="P43" s="786" t="s">
        <v>64</v>
      </c>
      <c r="Q43" s="786" t="s">
        <v>88</v>
      </c>
      <c r="R43" s="786" t="s">
        <v>89</v>
      </c>
    </row>
    <row r="44" spans="1:18" s="36" customFormat="1" ht="36" customHeight="1" x14ac:dyDescent="0.2">
      <c r="A44" s="787"/>
      <c r="B44" s="784"/>
      <c r="C44" s="791"/>
      <c r="D44" s="788"/>
      <c r="E44" s="788"/>
      <c r="F44" s="788"/>
      <c r="H44" s="788"/>
      <c r="I44" s="788"/>
      <c r="J44" s="788"/>
      <c r="K44" s="3"/>
      <c r="L44" s="788"/>
      <c r="M44" s="788"/>
      <c r="N44" s="788"/>
      <c r="P44" s="788"/>
      <c r="Q44" s="788"/>
      <c r="R44" s="788"/>
    </row>
    <row r="45" spans="1:18" s="36" customFormat="1" ht="14.45" customHeight="1" x14ac:dyDescent="0.2">
      <c r="A45" s="43">
        <v>1</v>
      </c>
      <c r="B45" s="803">
        <f ca="1">H15</f>
        <v>0</v>
      </c>
      <c r="C45" s="804"/>
      <c r="D45" s="187">
        <f>'01'!$H$37</f>
        <v>0</v>
      </c>
      <c r="E45" s="187">
        <f>D45</f>
        <v>0</v>
      </c>
      <c r="F45" s="187">
        <f ca="1">SUM(B45,E45)</f>
        <v>0</v>
      </c>
      <c r="H45" s="192">
        <v>1</v>
      </c>
      <c r="I45" s="193">
        <f>-'01'!$I$45</f>
        <v>0</v>
      </c>
      <c r="J45" s="194">
        <f>J40-I45</f>
        <v>0</v>
      </c>
      <c r="K45" s="3"/>
      <c r="L45" s="192">
        <v>1</v>
      </c>
      <c r="M45" s="193">
        <f>-'01'!$I$48</f>
        <v>0</v>
      </c>
      <c r="N45" s="194">
        <f>N40-M45</f>
        <v>0</v>
      </c>
      <c r="P45" s="192"/>
      <c r="Q45" s="193"/>
      <c r="R45" s="194"/>
    </row>
    <row r="46" spans="1:18" s="36" customFormat="1" ht="14.45" customHeight="1" x14ac:dyDescent="0.2">
      <c r="A46" s="47">
        <v>2</v>
      </c>
      <c r="B46" s="799">
        <f t="shared" ref="B46:B58" ca="1" si="11">H16</f>
        <v>0</v>
      </c>
      <c r="C46" s="800"/>
      <c r="D46" s="188">
        <f>'02'!$H$37</f>
        <v>0</v>
      </c>
      <c r="E46" s="188">
        <f>E45+D46</f>
        <v>0</v>
      </c>
      <c r="F46" s="188">
        <f t="shared" ref="F46:F58" ca="1" si="12">SUM(B46,E46)</f>
        <v>0</v>
      </c>
      <c r="H46" s="47">
        <v>2</v>
      </c>
      <c r="I46" s="201">
        <f>-'02'!$I$45</f>
        <v>0</v>
      </c>
      <c r="J46" s="188">
        <f t="shared" ref="J46:J56" si="13">J45-I46</f>
        <v>0</v>
      </c>
      <c r="K46" s="3"/>
      <c r="L46" s="47">
        <v>2</v>
      </c>
      <c r="M46" s="193">
        <f>-'02'!$I$48</f>
        <v>0</v>
      </c>
      <c r="N46" s="188">
        <f t="shared" ref="N46:N56" si="14">N45-M46</f>
        <v>0</v>
      </c>
      <c r="P46" s="47"/>
      <c r="Q46" s="193"/>
      <c r="R46" s="188"/>
    </row>
    <row r="47" spans="1:18" s="36" customFormat="1" ht="14.45" customHeight="1" x14ac:dyDescent="0.2">
      <c r="A47" s="47">
        <v>3</v>
      </c>
      <c r="B47" s="799">
        <f t="shared" ca="1" si="11"/>
        <v>0</v>
      </c>
      <c r="C47" s="800"/>
      <c r="D47" s="188">
        <f>'03'!$H$37</f>
        <v>0</v>
      </c>
      <c r="E47" s="188">
        <f t="shared" ref="E47:E58" si="15">E46+D47</f>
        <v>0</v>
      </c>
      <c r="F47" s="188">
        <f t="shared" ca="1" si="12"/>
        <v>0</v>
      </c>
      <c r="H47" s="47">
        <v>3</v>
      </c>
      <c r="I47" s="201">
        <f>-'03'!$I$45</f>
        <v>0</v>
      </c>
      <c r="J47" s="188">
        <f t="shared" si="13"/>
        <v>0</v>
      </c>
      <c r="K47" s="3"/>
      <c r="L47" s="47">
        <v>3</v>
      </c>
      <c r="M47" s="193">
        <f>-'03'!$I$48</f>
        <v>0</v>
      </c>
      <c r="N47" s="188">
        <f t="shared" si="14"/>
        <v>0</v>
      </c>
      <c r="P47" s="47">
        <v>3</v>
      </c>
      <c r="Q47" s="193">
        <f>-'03'!$I$49</f>
        <v>0</v>
      </c>
      <c r="R47" s="188">
        <f>R40-Q47</f>
        <v>0</v>
      </c>
    </row>
    <row r="48" spans="1:18" s="36" customFormat="1" ht="14.45" customHeight="1" x14ac:dyDescent="0.2">
      <c r="A48" s="47">
        <v>4</v>
      </c>
      <c r="B48" s="799">
        <f t="shared" ca="1" si="11"/>
        <v>0</v>
      </c>
      <c r="C48" s="800"/>
      <c r="D48" s="188">
        <f>'04'!$H$37</f>
        <v>0</v>
      </c>
      <c r="E48" s="188">
        <f t="shared" si="15"/>
        <v>0</v>
      </c>
      <c r="F48" s="188">
        <f t="shared" ca="1" si="12"/>
        <v>0</v>
      </c>
      <c r="H48" s="47">
        <v>4</v>
      </c>
      <c r="I48" s="201">
        <f>-'04'!$I$45</f>
        <v>0</v>
      </c>
      <c r="J48" s="188">
        <f t="shared" si="13"/>
        <v>0</v>
      </c>
      <c r="K48" s="3"/>
      <c r="L48" s="47">
        <v>4</v>
      </c>
      <c r="M48" s="193">
        <f>-'04'!$I$48</f>
        <v>0</v>
      </c>
      <c r="N48" s="188">
        <f t="shared" si="14"/>
        <v>0</v>
      </c>
      <c r="P48" s="47">
        <v>4</v>
      </c>
      <c r="Q48" s="193">
        <f>-'04'!$I$49</f>
        <v>0</v>
      </c>
      <c r="R48" s="188">
        <f t="shared" ref="R48:R56" si="16">R47-Q48</f>
        <v>0</v>
      </c>
    </row>
    <row r="49" spans="1:18" s="36" customFormat="1" ht="14.45" customHeight="1" x14ac:dyDescent="0.2">
      <c r="A49" s="47">
        <v>5</v>
      </c>
      <c r="B49" s="799">
        <f t="shared" ca="1" si="11"/>
        <v>0</v>
      </c>
      <c r="C49" s="800"/>
      <c r="D49" s="188">
        <f>'05'!$H$37</f>
        <v>0</v>
      </c>
      <c r="E49" s="188">
        <f t="shared" si="15"/>
        <v>0</v>
      </c>
      <c r="F49" s="188">
        <f t="shared" ca="1" si="12"/>
        <v>0</v>
      </c>
      <c r="H49" s="47">
        <v>5</v>
      </c>
      <c r="I49" s="201">
        <f>-'05'!$I$45</f>
        <v>0</v>
      </c>
      <c r="J49" s="188">
        <f t="shared" si="13"/>
        <v>0</v>
      </c>
      <c r="K49" s="3"/>
      <c r="L49" s="47">
        <v>5</v>
      </c>
      <c r="M49" s="193">
        <f>-'05'!$I$48</f>
        <v>0</v>
      </c>
      <c r="N49" s="188">
        <f t="shared" si="14"/>
        <v>0</v>
      </c>
      <c r="P49" s="47">
        <v>5</v>
      </c>
      <c r="Q49" s="193">
        <f>-'05'!$I$49</f>
        <v>0</v>
      </c>
      <c r="R49" s="188">
        <f t="shared" si="16"/>
        <v>0</v>
      </c>
    </row>
    <row r="50" spans="1:18" s="36" customFormat="1" ht="14.45" customHeight="1" x14ac:dyDescent="0.2">
      <c r="A50" s="47">
        <v>6</v>
      </c>
      <c r="B50" s="799">
        <f t="shared" ca="1" si="11"/>
        <v>0</v>
      </c>
      <c r="C50" s="800"/>
      <c r="D50" s="188">
        <f>'06'!$H$37</f>
        <v>0</v>
      </c>
      <c r="E50" s="188">
        <f t="shared" si="15"/>
        <v>0</v>
      </c>
      <c r="F50" s="188">
        <f t="shared" ca="1" si="12"/>
        <v>0</v>
      </c>
      <c r="H50" s="47">
        <v>6</v>
      </c>
      <c r="I50" s="201">
        <f>-'06'!$I$45</f>
        <v>0</v>
      </c>
      <c r="J50" s="188">
        <f t="shared" si="13"/>
        <v>0</v>
      </c>
      <c r="K50" s="3"/>
      <c r="L50" s="47">
        <v>6</v>
      </c>
      <c r="M50" s="193">
        <f>-'06'!$I$48</f>
        <v>0</v>
      </c>
      <c r="N50" s="188">
        <f t="shared" si="14"/>
        <v>0</v>
      </c>
      <c r="P50" s="47">
        <v>6</v>
      </c>
      <c r="Q50" s="193">
        <f>-'06'!$I$49</f>
        <v>0</v>
      </c>
      <c r="R50" s="188">
        <f t="shared" si="16"/>
        <v>0</v>
      </c>
    </row>
    <row r="51" spans="1:18" s="36" customFormat="1" ht="14.45" customHeight="1" x14ac:dyDescent="0.2">
      <c r="A51" s="47">
        <v>14</v>
      </c>
      <c r="B51" s="799">
        <f t="shared" ca="1" si="11"/>
        <v>0</v>
      </c>
      <c r="C51" s="800"/>
      <c r="D51" s="188">
        <f>'14'!$H$37</f>
        <v>0</v>
      </c>
      <c r="E51" s="188">
        <f t="shared" si="15"/>
        <v>0</v>
      </c>
      <c r="F51" s="188">
        <f t="shared" ca="1" si="12"/>
        <v>0</v>
      </c>
      <c r="H51" s="47">
        <v>14</v>
      </c>
      <c r="I51" s="201">
        <f>-'14'!$I$45</f>
        <v>0</v>
      </c>
      <c r="J51" s="188">
        <f t="shared" si="13"/>
        <v>0</v>
      </c>
      <c r="K51" s="3"/>
      <c r="L51" s="47">
        <v>14</v>
      </c>
      <c r="M51" s="193">
        <f>-'14'!$I$48</f>
        <v>0</v>
      </c>
      <c r="N51" s="188">
        <f t="shared" si="14"/>
        <v>0</v>
      </c>
      <c r="P51" s="47">
        <v>14</v>
      </c>
      <c r="Q51" s="193"/>
      <c r="R51" s="188">
        <f t="shared" si="16"/>
        <v>0</v>
      </c>
    </row>
    <row r="52" spans="1:18" s="36" customFormat="1" ht="14.45" customHeight="1" x14ac:dyDescent="0.2">
      <c r="A52" s="47">
        <v>7</v>
      </c>
      <c r="B52" s="799">
        <f t="shared" ca="1" si="11"/>
        <v>0</v>
      </c>
      <c r="C52" s="800"/>
      <c r="D52" s="188">
        <f>'07'!$H$37</f>
        <v>0</v>
      </c>
      <c r="E52" s="188">
        <f t="shared" si="15"/>
        <v>0</v>
      </c>
      <c r="F52" s="188">
        <f t="shared" ca="1" si="12"/>
        <v>0</v>
      </c>
      <c r="H52" s="47">
        <v>7</v>
      </c>
      <c r="I52" s="201">
        <f>-'07'!$I$45</f>
        <v>0</v>
      </c>
      <c r="J52" s="188">
        <f t="shared" si="13"/>
        <v>0</v>
      </c>
      <c r="K52" s="3"/>
      <c r="L52" s="47">
        <v>7</v>
      </c>
      <c r="M52" s="193">
        <f>-'07'!$I$48</f>
        <v>0</v>
      </c>
      <c r="N52" s="188">
        <f t="shared" si="14"/>
        <v>0</v>
      </c>
      <c r="P52" s="47">
        <v>7</v>
      </c>
      <c r="Q52" s="193">
        <f>-'07'!$I$49</f>
        <v>0</v>
      </c>
      <c r="R52" s="188">
        <f t="shared" si="16"/>
        <v>0</v>
      </c>
    </row>
    <row r="53" spans="1:18" s="36" customFormat="1" ht="14.45" customHeight="1" x14ac:dyDescent="0.2">
      <c r="A53" s="47">
        <v>8</v>
      </c>
      <c r="B53" s="799">
        <f t="shared" ca="1" si="11"/>
        <v>0</v>
      </c>
      <c r="C53" s="800"/>
      <c r="D53" s="188">
        <f>'08'!$H$37</f>
        <v>0</v>
      </c>
      <c r="E53" s="188">
        <f t="shared" si="15"/>
        <v>0</v>
      </c>
      <c r="F53" s="188">
        <f t="shared" ca="1" si="12"/>
        <v>0</v>
      </c>
      <c r="H53" s="47">
        <v>8</v>
      </c>
      <c r="I53" s="201">
        <f>-'08'!$I$45</f>
        <v>0</v>
      </c>
      <c r="J53" s="188">
        <f t="shared" si="13"/>
        <v>0</v>
      </c>
      <c r="K53" s="3"/>
      <c r="L53" s="47">
        <v>8</v>
      </c>
      <c r="M53" s="193">
        <f>-'08'!$I$48</f>
        <v>0</v>
      </c>
      <c r="N53" s="188">
        <f t="shared" si="14"/>
        <v>0</v>
      </c>
      <c r="P53" s="47">
        <v>8</v>
      </c>
      <c r="Q53" s="193">
        <f>-'08'!$I$49</f>
        <v>0</v>
      </c>
      <c r="R53" s="188">
        <f t="shared" si="16"/>
        <v>0</v>
      </c>
    </row>
    <row r="54" spans="1:18" ht="14.45" customHeight="1" x14ac:dyDescent="0.2">
      <c r="A54" s="47">
        <v>9</v>
      </c>
      <c r="B54" s="799">
        <f t="shared" ca="1" si="11"/>
        <v>0</v>
      </c>
      <c r="C54" s="800"/>
      <c r="D54" s="188">
        <f>'09'!$H$37</f>
        <v>0</v>
      </c>
      <c r="E54" s="188">
        <f t="shared" si="15"/>
        <v>0</v>
      </c>
      <c r="F54" s="188">
        <f t="shared" ca="1" si="12"/>
        <v>0</v>
      </c>
      <c r="H54" s="47">
        <v>9</v>
      </c>
      <c r="I54" s="201">
        <f>-'09'!$I$45</f>
        <v>0</v>
      </c>
      <c r="J54" s="188">
        <f t="shared" si="13"/>
        <v>0</v>
      </c>
      <c r="L54" s="47">
        <v>9</v>
      </c>
      <c r="M54" s="193">
        <f>-'09'!$I$48</f>
        <v>0</v>
      </c>
      <c r="N54" s="188">
        <f t="shared" si="14"/>
        <v>0</v>
      </c>
      <c r="P54" s="47">
        <v>9</v>
      </c>
      <c r="Q54" s="193">
        <f>-'09'!$I$49</f>
        <v>0</v>
      </c>
      <c r="R54" s="188">
        <f t="shared" si="16"/>
        <v>0</v>
      </c>
    </row>
    <row r="55" spans="1:18" ht="14.45" customHeight="1" x14ac:dyDescent="0.2">
      <c r="A55" s="47">
        <v>10</v>
      </c>
      <c r="B55" s="799">
        <f t="shared" ca="1" si="11"/>
        <v>0</v>
      </c>
      <c r="C55" s="800"/>
      <c r="D55" s="188">
        <f>'10'!$H$37</f>
        <v>0</v>
      </c>
      <c r="E55" s="188">
        <f t="shared" si="15"/>
        <v>0</v>
      </c>
      <c r="F55" s="188">
        <f t="shared" ca="1" si="12"/>
        <v>0</v>
      </c>
      <c r="H55" s="47">
        <v>10</v>
      </c>
      <c r="I55" s="201">
        <f>-'10'!$I$45</f>
        <v>0</v>
      </c>
      <c r="J55" s="188">
        <f t="shared" si="13"/>
        <v>0</v>
      </c>
      <c r="L55" s="47">
        <v>10</v>
      </c>
      <c r="M55" s="193">
        <f>-'10'!$I$48</f>
        <v>0</v>
      </c>
      <c r="N55" s="188">
        <f t="shared" si="14"/>
        <v>0</v>
      </c>
      <c r="P55" s="47">
        <v>10</v>
      </c>
      <c r="Q55" s="193">
        <f>-'10'!$I$49</f>
        <v>0</v>
      </c>
      <c r="R55" s="188">
        <f t="shared" si="16"/>
        <v>0</v>
      </c>
    </row>
    <row r="56" spans="1:18" ht="14.45" customHeight="1" x14ac:dyDescent="0.2">
      <c r="A56" s="47">
        <v>11</v>
      </c>
      <c r="B56" s="799">
        <f t="shared" ca="1" si="11"/>
        <v>0</v>
      </c>
      <c r="C56" s="800"/>
      <c r="D56" s="188">
        <f>'11'!$H$37</f>
        <v>0</v>
      </c>
      <c r="E56" s="188">
        <f t="shared" si="15"/>
        <v>0</v>
      </c>
      <c r="F56" s="188">
        <f t="shared" ca="1" si="12"/>
        <v>0</v>
      </c>
      <c r="H56" s="47">
        <v>11</v>
      </c>
      <c r="I56" s="201">
        <f>-'11'!$I$45</f>
        <v>0</v>
      </c>
      <c r="J56" s="188">
        <f t="shared" si="13"/>
        <v>0</v>
      </c>
      <c r="L56" s="47">
        <v>11</v>
      </c>
      <c r="M56" s="193">
        <f>-'11'!$I$48</f>
        <v>0</v>
      </c>
      <c r="N56" s="188">
        <f t="shared" si="14"/>
        <v>0</v>
      </c>
      <c r="P56" s="47">
        <v>11</v>
      </c>
      <c r="Q56" s="193">
        <f>R55</f>
        <v>0</v>
      </c>
      <c r="R56" s="188">
        <f t="shared" si="16"/>
        <v>0</v>
      </c>
    </row>
    <row r="57" spans="1:18" ht="14.45" customHeight="1" x14ac:dyDescent="0.2">
      <c r="A57" s="47">
        <v>13</v>
      </c>
      <c r="B57" s="799">
        <f t="shared" ca="1" si="11"/>
        <v>0</v>
      </c>
      <c r="C57" s="800"/>
      <c r="D57" s="188">
        <f>'13'!$H$37</f>
        <v>0</v>
      </c>
      <c r="E57" s="188">
        <f t="shared" si="15"/>
        <v>0</v>
      </c>
      <c r="F57" s="188">
        <f t="shared" ca="1" si="12"/>
        <v>0</v>
      </c>
      <c r="H57" s="47">
        <v>13</v>
      </c>
      <c r="I57" s="201"/>
      <c r="J57" s="188"/>
      <c r="L57" s="47">
        <v>13</v>
      </c>
      <c r="M57" s="193"/>
      <c r="N57" s="188"/>
      <c r="P57" s="47">
        <v>13</v>
      </c>
      <c r="Q57" s="193"/>
      <c r="R57" s="188"/>
    </row>
    <row r="58" spans="1:18" ht="14.45" customHeight="1" x14ac:dyDescent="0.2">
      <c r="A58" s="51">
        <v>12</v>
      </c>
      <c r="B58" s="801">
        <f t="shared" ca="1" si="11"/>
        <v>0</v>
      </c>
      <c r="C58" s="802"/>
      <c r="D58" s="190">
        <f>'12'!$H$37</f>
        <v>0</v>
      </c>
      <c r="E58" s="190">
        <f t="shared" si="15"/>
        <v>0</v>
      </c>
      <c r="F58" s="190">
        <f t="shared" ca="1" si="12"/>
        <v>0</v>
      </c>
      <c r="H58" s="51">
        <v>12</v>
      </c>
      <c r="I58" s="189"/>
      <c r="J58" s="190"/>
      <c r="L58" s="51">
        <v>12</v>
      </c>
      <c r="M58" s="189"/>
      <c r="N58" s="190"/>
      <c r="P58" s="51">
        <v>12</v>
      </c>
      <c r="Q58" s="189"/>
      <c r="R58" s="190"/>
    </row>
    <row r="64" spans="1:18" ht="13.15" customHeight="1" x14ac:dyDescent="0.2">
      <c r="J64" s="195"/>
    </row>
    <row r="65" spans="1:18" ht="13.15" customHeight="1" x14ac:dyDescent="0.2">
      <c r="J65" s="195"/>
    </row>
    <row r="66" spans="1:18" ht="8.4499999999999993" customHeight="1" x14ac:dyDescent="0.2">
      <c r="K66" s="195"/>
      <c r="L66" s="195"/>
    </row>
    <row r="67" spans="1:18" ht="24" customHeight="1" x14ac:dyDescent="0.2"/>
    <row r="68" spans="1:18" ht="24" customHeight="1" x14ac:dyDescent="0.2"/>
    <row r="69" spans="1:18" ht="15.75" x14ac:dyDescent="0.2">
      <c r="A69" s="202" t="str">
        <f>A1</f>
        <v>Mustermann Max</v>
      </c>
      <c r="H69" s="279" t="str">
        <f>H1</f>
        <v>Jahr / Anno 2019</v>
      </c>
    </row>
    <row r="71" spans="1:18" x14ac:dyDescent="0.2">
      <c r="A71" s="123" t="s">
        <v>96</v>
      </c>
    </row>
    <row r="72" spans="1:18" x14ac:dyDescent="0.2">
      <c r="A72" s="123" t="s">
        <v>97</v>
      </c>
    </row>
    <row r="74" spans="1:18" ht="29.45" customHeight="1" x14ac:dyDescent="0.2">
      <c r="A74" s="786" t="s">
        <v>64</v>
      </c>
      <c r="B74" s="785" t="s">
        <v>94</v>
      </c>
      <c r="C74" s="790"/>
      <c r="D74" s="786" t="s">
        <v>95</v>
      </c>
      <c r="E74" s="200" t="s">
        <v>98</v>
      </c>
      <c r="F74" s="786" t="s">
        <v>99</v>
      </c>
      <c r="H74" s="786" t="s">
        <v>64</v>
      </c>
      <c r="I74" s="785" t="s">
        <v>152</v>
      </c>
      <c r="J74" s="785" t="s">
        <v>153</v>
      </c>
      <c r="K74" s="785" t="s">
        <v>154</v>
      </c>
      <c r="L74" s="785" t="s">
        <v>155</v>
      </c>
      <c r="M74" s="785" t="s">
        <v>156</v>
      </c>
      <c r="N74" s="785" t="s">
        <v>157</v>
      </c>
      <c r="O74" s="785" t="s">
        <v>158</v>
      </c>
      <c r="P74" s="785" t="s">
        <v>159</v>
      </c>
      <c r="Q74" s="783" t="s">
        <v>263</v>
      </c>
      <c r="R74" s="785" t="s">
        <v>163</v>
      </c>
    </row>
    <row r="75" spans="1:18" ht="10.15" customHeight="1" x14ac:dyDescent="0.2">
      <c r="A75" s="788"/>
      <c r="B75" s="784"/>
      <c r="C75" s="791"/>
      <c r="D75" s="788"/>
      <c r="E75" s="204">
        <v>5.0000000000000001E-3</v>
      </c>
      <c r="F75" s="788"/>
      <c r="H75" s="788"/>
      <c r="I75" s="784"/>
      <c r="J75" s="784"/>
      <c r="K75" s="784"/>
      <c r="L75" s="784"/>
      <c r="M75" s="784"/>
      <c r="N75" s="784"/>
      <c r="O75" s="784"/>
      <c r="P75" s="784"/>
      <c r="Q75" s="784"/>
      <c r="R75" s="784"/>
    </row>
    <row r="76" spans="1:18" s="34" customFormat="1" ht="11.25" x14ac:dyDescent="0.2">
      <c r="A76" s="341">
        <v>1</v>
      </c>
      <c r="B76" s="805">
        <f ca="1">SUM('01'!$I$29,'01'!$I$35,'01'!$I$36)</f>
        <v>0</v>
      </c>
      <c r="C76" s="805"/>
      <c r="D76" s="343">
        <f ca="1">B76</f>
        <v>0</v>
      </c>
      <c r="E76" s="342">
        <f ca="1">ROUND(B76*$E$75,2)</f>
        <v>0</v>
      </c>
      <c r="F76" s="342">
        <f ca="1">E76</f>
        <v>0</v>
      </c>
      <c r="H76" s="341">
        <v>1</v>
      </c>
      <c r="I76" s="343">
        <f ca="1">'01'!$H$38</f>
        <v>0</v>
      </c>
      <c r="J76" s="343">
        <f ca="1">I76</f>
        <v>0</v>
      </c>
      <c r="K76" s="343">
        <f ca="1">-'01'!$H$39</f>
        <v>0</v>
      </c>
      <c r="L76" s="343">
        <f ca="1">K76</f>
        <v>0</v>
      </c>
      <c r="M76" s="343">
        <f>'01'!$H$40</f>
        <v>0</v>
      </c>
      <c r="N76" s="343">
        <f>M76</f>
        <v>0</v>
      </c>
      <c r="O76" s="343">
        <f>'01'!$H$41</f>
        <v>0</v>
      </c>
      <c r="P76" s="343">
        <f>O76</f>
        <v>0</v>
      </c>
      <c r="Q76" s="343">
        <f ca="1">-'01'!$I$42</f>
        <v>0</v>
      </c>
      <c r="R76" s="343">
        <f ca="1">Q76</f>
        <v>0</v>
      </c>
    </row>
    <row r="77" spans="1:18" s="34" customFormat="1" ht="11.25" x14ac:dyDescent="0.2">
      <c r="A77" s="344">
        <v>2</v>
      </c>
      <c r="B77" s="789">
        <f ca="1">SUM('02'!$I$29,'02'!$I$35,'02'!$I$36)</f>
        <v>0</v>
      </c>
      <c r="C77" s="789"/>
      <c r="D77" s="346">
        <f ca="1">D76+B77</f>
        <v>0</v>
      </c>
      <c r="E77" s="345">
        <f t="shared" ref="E77:E89" ca="1" si="17">ROUND(B77*$E$75,2)</f>
        <v>0</v>
      </c>
      <c r="F77" s="345">
        <f ca="1">F76+E77</f>
        <v>0</v>
      </c>
      <c r="H77" s="344">
        <v>2</v>
      </c>
      <c r="I77" s="346">
        <f ca="1">'02'!$H$38</f>
        <v>0</v>
      </c>
      <c r="J77" s="346">
        <f ca="1">J76+I77</f>
        <v>0</v>
      </c>
      <c r="K77" s="346">
        <f ca="1">-'02'!$H$39</f>
        <v>0</v>
      </c>
      <c r="L77" s="346">
        <f ca="1">L76+K77</f>
        <v>0</v>
      </c>
      <c r="M77" s="346">
        <f>'02'!$H$40</f>
        <v>0</v>
      </c>
      <c r="N77" s="346">
        <f>N76+M77</f>
        <v>0</v>
      </c>
      <c r="O77" s="346">
        <f>'02'!$H$41</f>
        <v>0</v>
      </c>
      <c r="P77" s="346">
        <f>P76+O77</f>
        <v>0</v>
      </c>
      <c r="Q77" s="346">
        <f ca="1">-'02'!$I$42</f>
        <v>0</v>
      </c>
      <c r="R77" s="346">
        <f ca="1">R76+Q77</f>
        <v>0</v>
      </c>
    </row>
    <row r="78" spans="1:18" s="34" customFormat="1" ht="11.25" x14ac:dyDescent="0.2">
      <c r="A78" s="344">
        <v>3</v>
      </c>
      <c r="B78" s="789">
        <f ca="1">SUM('03'!$I$29,'03'!$I$35,'03'!$I$36)</f>
        <v>0</v>
      </c>
      <c r="C78" s="789"/>
      <c r="D78" s="346">
        <f t="shared" ref="D78:D89" ca="1" si="18">D77+B78</f>
        <v>0</v>
      </c>
      <c r="E78" s="345">
        <f t="shared" ca="1" si="17"/>
        <v>0</v>
      </c>
      <c r="F78" s="345">
        <f t="shared" ref="F78:F89" ca="1" si="19">F77+E78</f>
        <v>0</v>
      </c>
      <c r="H78" s="344">
        <v>3</v>
      </c>
      <c r="I78" s="346">
        <f ca="1">'03'!$H$38</f>
        <v>0</v>
      </c>
      <c r="J78" s="346">
        <f t="shared" ref="J78:P89" ca="1" si="20">J77+I78</f>
        <v>0</v>
      </c>
      <c r="K78" s="346">
        <f ca="1">-'03'!$H$39</f>
        <v>0</v>
      </c>
      <c r="L78" s="346">
        <f t="shared" ca="1" si="20"/>
        <v>0</v>
      </c>
      <c r="M78" s="346">
        <f>'03'!$H$40</f>
        <v>0</v>
      </c>
      <c r="N78" s="346">
        <f t="shared" si="20"/>
        <v>0</v>
      </c>
      <c r="O78" s="346">
        <f>'03'!$H$41</f>
        <v>0</v>
      </c>
      <c r="P78" s="346">
        <f t="shared" si="20"/>
        <v>0</v>
      </c>
      <c r="Q78" s="346">
        <f ca="1">-'03'!$I$42</f>
        <v>0</v>
      </c>
      <c r="R78" s="346">
        <f t="shared" ref="R78:R89" ca="1" si="21">R77+Q78</f>
        <v>0</v>
      </c>
    </row>
    <row r="79" spans="1:18" s="34" customFormat="1" ht="11.25" x14ac:dyDescent="0.2">
      <c r="A79" s="344">
        <v>4</v>
      </c>
      <c r="B79" s="789">
        <f ca="1">SUM('04'!$I$29,'04'!$I$35,'04'!$I$36)</f>
        <v>0</v>
      </c>
      <c r="C79" s="789"/>
      <c r="D79" s="346">
        <f t="shared" ca="1" si="18"/>
        <v>0</v>
      </c>
      <c r="E79" s="345">
        <f t="shared" ca="1" si="17"/>
        <v>0</v>
      </c>
      <c r="F79" s="345">
        <f t="shared" ca="1" si="19"/>
        <v>0</v>
      </c>
      <c r="H79" s="344">
        <v>4</v>
      </c>
      <c r="I79" s="346">
        <f ca="1">'04'!$H$38</f>
        <v>0</v>
      </c>
      <c r="J79" s="346">
        <f t="shared" ca="1" si="20"/>
        <v>0</v>
      </c>
      <c r="K79" s="346">
        <f ca="1">-'04'!$H$39</f>
        <v>0</v>
      </c>
      <c r="L79" s="346">
        <f t="shared" ca="1" si="20"/>
        <v>0</v>
      </c>
      <c r="M79" s="346">
        <f>'04'!$H$40</f>
        <v>0</v>
      </c>
      <c r="N79" s="346">
        <f t="shared" si="20"/>
        <v>0</v>
      </c>
      <c r="O79" s="346">
        <f>'04'!$H$41</f>
        <v>0</v>
      </c>
      <c r="P79" s="346">
        <f t="shared" si="20"/>
        <v>0</v>
      </c>
      <c r="Q79" s="346">
        <f ca="1">-'04'!$I$42</f>
        <v>0</v>
      </c>
      <c r="R79" s="346">
        <f t="shared" ca="1" si="21"/>
        <v>0</v>
      </c>
    </row>
    <row r="80" spans="1:18" s="34" customFormat="1" ht="11.25" x14ac:dyDescent="0.2">
      <c r="A80" s="344">
        <v>5</v>
      </c>
      <c r="B80" s="789">
        <f ca="1">SUM('05'!$I$29,'05'!$I$35,'05'!$I$36)</f>
        <v>0</v>
      </c>
      <c r="C80" s="789"/>
      <c r="D80" s="346">
        <f t="shared" ca="1" si="18"/>
        <v>0</v>
      </c>
      <c r="E80" s="345">
        <f t="shared" ca="1" si="17"/>
        <v>0</v>
      </c>
      <c r="F80" s="345">
        <f t="shared" ca="1" si="19"/>
        <v>0</v>
      </c>
      <c r="H80" s="344">
        <v>5</v>
      </c>
      <c r="I80" s="346">
        <f ca="1">'05'!$H$38</f>
        <v>0</v>
      </c>
      <c r="J80" s="346">
        <f t="shared" ca="1" si="20"/>
        <v>0</v>
      </c>
      <c r="K80" s="346">
        <f ca="1">-'05'!$H$39</f>
        <v>0</v>
      </c>
      <c r="L80" s="346">
        <f t="shared" ca="1" si="20"/>
        <v>0</v>
      </c>
      <c r="M80" s="346">
        <f>'05'!$H$40</f>
        <v>0</v>
      </c>
      <c r="N80" s="346">
        <f t="shared" si="20"/>
        <v>0</v>
      </c>
      <c r="O80" s="346">
        <f>'05'!$H$41</f>
        <v>0</v>
      </c>
      <c r="P80" s="346">
        <f t="shared" si="20"/>
        <v>0</v>
      </c>
      <c r="Q80" s="346">
        <f ca="1">-'05'!$I$42</f>
        <v>0</v>
      </c>
      <c r="R80" s="346">
        <f t="shared" ca="1" si="21"/>
        <v>0</v>
      </c>
    </row>
    <row r="81" spans="1:18" s="34" customFormat="1" ht="11.25" x14ac:dyDescent="0.2">
      <c r="A81" s="344">
        <v>6</v>
      </c>
      <c r="B81" s="789">
        <f ca="1">SUM('06'!$I$29,'06'!$I$35,'06'!$I$36)</f>
        <v>0</v>
      </c>
      <c r="C81" s="789"/>
      <c r="D81" s="346">
        <f t="shared" ca="1" si="18"/>
        <v>0</v>
      </c>
      <c r="E81" s="345">
        <f t="shared" ca="1" si="17"/>
        <v>0</v>
      </c>
      <c r="F81" s="345">
        <f t="shared" ca="1" si="19"/>
        <v>0</v>
      </c>
      <c r="H81" s="344">
        <v>6</v>
      </c>
      <c r="I81" s="346">
        <f ca="1">'06'!$H$38</f>
        <v>0</v>
      </c>
      <c r="J81" s="346">
        <f t="shared" ca="1" si="20"/>
        <v>0</v>
      </c>
      <c r="K81" s="346">
        <f ca="1">-'06'!$H$39</f>
        <v>0</v>
      </c>
      <c r="L81" s="346">
        <f t="shared" ca="1" si="20"/>
        <v>0</v>
      </c>
      <c r="M81" s="346">
        <f>'06'!$H$40</f>
        <v>0</v>
      </c>
      <c r="N81" s="346">
        <f t="shared" si="20"/>
        <v>0</v>
      </c>
      <c r="O81" s="346">
        <f>'06'!$H$41</f>
        <v>0</v>
      </c>
      <c r="P81" s="346">
        <f t="shared" si="20"/>
        <v>0</v>
      </c>
      <c r="Q81" s="346">
        <f ca="1">-'06'!$I$42</f>
        <v>0</v>
      </c>
      <c r="R81" s="346">
        <f t="shared" ca="1" si="21"/>
        <v>0</v>
      </c>
    </row>
    <row r="82" spans="1:18" s="34" customFormat="1" ht="11.25" x14ac:dyDescent="0.2">
      <c r="A82" s="344">
        <v>14</v>
      </c>
      <c r="B82" s="789">
        <f ca="1">SUM('14'!$I$29,'14'!$I$35,'14'!$I$36)</f>
        <v>0</v>
      </c>
      <c r="C82" s="789"/>
      <c r="D82" s="346">
        <f t="shared" ca="1" si="18"/>
        <v>0</v>
      </c>
      <c r="E82" s="345">
        <f t="shared" ca="1" si="17"/>
        <v>0</v>
      </c>
      <c r="F82" s="345">
        <f t="shared" ca="1" si="19"/>
        <v>0</v>
      </c>
      <c r="H82" s="344">
        <v>14</v>
      </c>
      <c r="I82" s="346">
        <f ca="1">'14'!$H$38</f>
        <v>0</v>
      </c>
      <c r="J82" s="346">
        <f t="shared" ca="1" si="20"/>
        <v>0</v>
      </c>
      <c r="K82" s="346">
        <f ca="1">-'14'!$H$39</f>
        <v>0</v>
      </c>
      <c r="L82" s="346">
        <f t="shared" ca="1" si="20"/>
        <v>0</v>
      </c>
      <c r="M82" s="346">
        <f>'14'!$H$40</f>
        <v>0</v>
      </c>
      <c r="N82" s="346">
        <f t="shared" si="20"/>
        <v>0</v>
      </c>
      <c r="O82" s="346">
        <f>'14'!$H$41</f>
        <v>0</v>
      </c>
      <c r="P82" s="346">
        <f t="shared" si="20"/>
        <v>0</v>
      </c>
      <c r="Q82" s="346">
        <f ca="1">-'14'!$I$42</f>
        <v>0</v>
      </c>
      <c r="R82" s="346">
        <f t="shared" ca="1" si="21"/>
        <v>0</v>
      </c>
    </row>
    <row r="83" spans="1:18" s="34" customFormat="1" ht="11.25" x14ac:dyDescent="0.2">
      <c r="A83" s="344">
        <v>7</v>
      </c>
      <c r="B83" s="789">
        <f ca="1">SUM('07'!$I$29,'07'!$I$35,'07'!$I$36)</f>
        <v>0</v>
      </c>
      <c r="C83" s="789"/>
      <c r="D83" s="346">
        <f t="shared" ca="1" si="18"/>
        <v>0</v>
      </c>
      <c r="E83" s="345">
        <f t="shared" ca="1" si="17"/>
        <v>0</v>
      </c>
      <c r="F83" s="345">
        <f t="shared" ca="1" si="19"/>
        <v>0</v>
      </c>
      <c r="H83" s="344">
        <v>7</v>
      </c>
      <c r="I83" s="346">
        <f ca="1">'07'!$H$38</f>
        <v>0</v>
      </c>
      <c r="J83" s="346">
        <f t="shared" ca="1" si="20"/>
        <v>0</v>
      </c>
      <c r="K83" s="346">
        <f ca="1">-'07'!$H$39</f>
        <v>0</v>
      </c>
      <c r="L83" s="346">
        <f t="shared" ca="1" si="20"/>
        <v>0</v>
      </c>
      <c r="M83" s="346">
        <f>'07'!$H$40</f>
        <v>0</v>
      </c>
      <c r="N83" s="346">
        <f t="shared" si="20"/>
        <v>0</v>
      </c>
      <c r="O83" s="346">
        <f>'07'!$H$41</f>
        <v>0</v>
      </c>
      <c r="P83" s="346">
        <f t="shared" si="20"/>
        <v>0</v>
      </c>
      <c r="Q83" s="346">
        <f ca="1">-'07'!$I$42</f>
        <v>0</v>
      </c>
      <c r="R83" s="346">
        <f t="shared" ca="1" si="21"/>
        <v>0</v>
      </c>
    </row>
    <row r="84" spans="1:18" s="34" customFormat="1" ht="11.25" x14ac:dyDescent="0.2">
      <c r="A84" s="344">
        <v>8</v>
      </c>
      <c r="B84" s="789">
        <f ca="1">SUM('08'!$I$29,'08'!$I$35,'08'!$I$36)</f>
        <v>0</v>
      </c>
      <c r="C84" s="789"/>
      <c r="D84" s="346">
        <f t="shared" ca="1" si="18"/>
        <v>0</v>
      </c>
      <c r="E84" s="345">
        <f t="shared" ca="1" si="17"/>
        <v>0</v>
      </c>
      <c r="F84" s="345">
        <f t="shared" ca="1" si="19"/>
        <v>0</v>
      </c>
      <c r="H84" s="344">
        <v>8</v>
      </c>
      <c r="I84" s="346">
        <f ca="1">'08'!$H$38</f>
        <v>0</v>
      </c>
      <c r="J84" s="346">
        <f t="shared" ca="1" si="20"/>
        <v>0</v>
      </c>
      <c r="K84" s="346">
        <f ca="1">-'08'!$H$39</f>
        <v>0</v>
      </c>
      <c r="L84" s="346">
        <f t="shared" ca="1" si="20"/>
        <v>0</v>
      </c>
      <c r="M84" s="346">
        <f>'08'!$H$40</f>
        <v>0</v>
      </c>
      <c r="N84" s="346">
        <f t="shared" si="20"/>
        <v>0</v>
      </c>
      <c r="O84" s="346">
        <f>'08'!$H$41</f>
        <v>0</v>
      </c>
      <c r="P84" s="346">
        <f t="shared" si="20"/>
        <v>0</v>
      </c>
      <c r="Q84" s="346">
        <f ca="1">-'08'!$I$42</f>
        <v>0</v>
      </c>
      <c r="R84" s="346">
        <f t="shared" ca="1" si="21"/>
        <v>0</v>
      </c>
    </row>
    <row r="85" spans="1:18" s="34" customFormat="1" ht="11.25" x14ac:dyDescent="0.2">
      <c r="A85" s="344">
        <v>9</v>
      </c>
      <c r="B85" s="789">
        <f ca="1">SUM('09'!$I$29,'09'!$I$35,'09'!$I$36)</f>
        <v>0</v>
      </c>
      <c r="C85" s="789"/>
      <c r="D85" s="346">
        <f t="shared" ca="1" si="18"/>
        <v>0</v>
      </c>
      <c r="E85" s="345">
        <f t="shared" ca="1" si="17"/>
        <v>0</v>
      </c>
      <c r="F85" s="345">
        <f t="shared" ca="1" si="19"/>
        <v>0</v>
      </c>
      <c r="H85" s="344">
        <v>9</v>
      </c>
      <c r="I85" s="346">
        <f ca="1">'09'!$H$38</f>
        <v>0</v>
      </c>
      <c r="J85" s="346">
        <f t="shared" ca="1" si="20"/>
        <v>0</v>
      </c>
      <c r="K85" s="346">
        <f ca="1">-'09'!$H$39</f>
        <v>0</v>
      </c>
      <c r="L85" s="346">
        <f t="shared" ca="1" si="20"/>
        <v>0</v>
      </c>
      <c r="M85" s="346">
        <f>'09'!$H$40</f>
        <v>0</v>
      </c>
      <c r="N85" s="346">
        <f t="shared" si="20"/>
        <v>0</v>
      </c>
      <c r="O85" s="346">
        <f>'09'!$H$41</f>
        <v>0</v>
      </c>
      <c r="P85" s="346">
        <f t="shared" si="20"/>
        <v>0</v>
      </c>
      <c r="Q85" s="346">
        <f ca="1">-'09'!$I$42</f>
        <v>0</v>
      </c>
      <c r="R85" s="346">
        <f t="shared" ca="1" si="21"/>
        <v>0</v>
      </c>
    </row>
    <row r="86" spans="1:18" s="34" customFormat="1" ht="11.25" x14ac:dyDescent="0.2">
      <c r="A86" s="344">
        <v>10</v>
      </c>
      <c r="B86" s="789">
        <f ca="1">SUM('10'!$I$29,'10'!$I$35,'10'!$I$36)</f>
        <v>0</v>
      </c>
      <c r="C86" s="789"/>
      <c r="D86" s="346">
        <f t="shared" ca="1" si="18"/>
        <v>0</v>
      </c>
      <c r="E86" s="345">
        <f t="shared" ca="1" si="17"/>
        <v>0</v>
      </c>
      <c r="F86" s="345">
        <f t="shared" ca="1" si="19"/>
        <v>0</v>
      </c>
      <c r="H86" s="344">
        <v>10</v>
      </c>
      <c r="I86" s="346">
        <f ca="1">'10'!$H$38</f>
        <v>0</v>
      </c>
      <c r="J86" s="346">
        <f t="shared" ca="1" si="20"/>
        <v>0</v>
      </c>
      <c r="K86" s="346">
        <f ca="1">-'10'!$H$39</f>
        <v>0</v>
      </c>
      <c r="L86" s="346">
        <f t="shared" ca="1" si="20"/>
        <v>0</v>
      </c>
      <c r="M86" s="346">
        <f>'10'!$H$40</f>
        <v>0</v>
      </c>
      <c r="N86" s="346">
        <f t="shared" si="20"/>
        <v>0</v>
      </c>
      <c r="O86" s="346">
        <f>'10'!$H$41</f>
        <v>0</v>
      </c>
      <c r="P86" s="346">
        <f t="shared" si="20"/>
        <v>0</v>
      </c>
      <c r="Q86" s="346">
        <f ca="1">-'10'!$I$42</f>
        <v>0</v>
      </c>
      <c r="R86" s="346">
        <f t="shared" ca="1" si="21"/>
        <v>0</v>
      </c>
    </row>
    <row r="87" spans="1:18" s="34" customFormat="1" ht="11.25" x14ac:dyDescent="0.2">
      <c r="A87" s="344">
        <v>11</v>
      </c>
      <c r="B87" s="789">
        <f ca="1">SUM('11'!$I$29,'11'!$I$35,'11'!$I$36)</f>
        <v>0</v>
      </c>
      <c r="C87" s="789"/>
      <c r="D87" s="346">
        <f t="shared" ca="1" si="18"/>
        <v>0</v>
      </c>
      <c r="E87" s="345">
        <f t="shared" ca="1" si="17"/>
        <v>0</v>
      </c>
      <c r="F87" s="345">
        <f t="shared" ca="1" si="19"/>
        <v>0</v>
      </c>
      <c r="H87" s="344">
        <v>11</v>
      </c>
      <c r="I87" s="346">
        <f ca="1">'11'!$H$38</f>
        <v>0</v>
      </c>
      <c r="J87" s="346">
        <f t="shared" ca="1" si="20"/>
        <v>0</v>
      </c>
      <c r="K87" s="346">
        <f ca="1">-'11'!$H$39</f>
        <v>0</v>
      </c>
      <c r="L87" s="346">
        <f t="shared" ca="1" si="20"/>
        <v>0</v>
      </c>
      <c r="M87" s="346">
        <f>'11'!$H$40</f>
        <v>0</v>
      </c>
      <c r="N87" s="346">
        <f t="shared" si="20"/>
        <v>0</v>
      </c>
      <c r="O87" s="346">
        <f>'11'!$H$41</f>
        <v>0</v>
      </c>
      <c r="P87" s="346">
        <f t="shared" si="20"/>
        <v>0</v>
      </c>
      <c r="Q87" s="346">
        <f ca="1">-'11'!$I$42</f>
        <v>0</v>
      </c>
      <c r="R87" s="346">
        <f t="shared" ca="1" si="21"/>
        <v>0</v>
      </c>
    </row>
    <row r="88" spans="1:18" s="34" customFormat="1" ht="11.25" x14ac:dyDescent="0.2">
      <c r="A88" s="344">
        <v>13</v>
      </c>
      <c r="B88" s="789">
        <f ca="1">SUM('13'!$I$29,'13'!$I$35,'13'!$I$36)</f>
        <v>0</v>
      </c>
      <c r="C88" s="789"/>
      <c r="D88" s="346">
        <f t="shared" ca="1" si="18"/>
        <v>0</v>
      </c>
      <c r="E88" s="345">
        <f t="shared" ca="1" si="17"/>
        <v>0</v>
      </c>
      <c r="F88" s="345">
        <f t="shared" ca="1" si="19"/>
        <v>0</v>
      </c>
      <c r="H88" s="344">
        <v>13</v>
      </c>
      <c r="I88" s="346">
        <f ca="1">'13'!$H$38</f>
        <v>0</v>
      </c>
      <c r="J88" s="346">
        <f t="shared" ca="1" si="20"/>
        <v>0</v>
      </c>
      <c r="K88" s="346">
        <f ca="1">-'13'!$H$39</f>
        <v>0</v>
      </c>
      <c r="L88" s="346">
        <f t="shared" ca="1" si="20"/>
        <v>0</v>
      </c>
      <c r="M88" s="346">
        <f>'13'!$H$40</f>
        <v>0</v>
      </c>
      <c r="N88" s="346">
        <f t="shared" si="20"/>
        <v>0</v>
      </c>
      <c r="O88" s="346">
        <f>'13'!$H$41</f>
        <v>0</v>
      </c>
      <c r="P88" s="346">
        <f t="shared" si="20"/>
        <v>0</v>
      </c>
      <c r="Q88" s="346">
        <f ca="1">-'13'!$I$42</f>
        <v>0</v>
      </c>
      <c r="R88" s="346">
        <f t="shared" ca="1" si="21"/>
        <v>0</v>
      </c>
    </row>
    <row r="89" spans="1:18" s="34" customFormat="1" ht="11.25" x14ac:dyDescent="0.2">
      <c r="A89" s="347">
        <v>12</v>
      </c>
      <c r="B89" s="806">
        <f ca="1">SUM('12'!$I$29,'12'!$I$35,'12'!$I$36)</f>
        <v>0</v>
      </c>
      <c r="C89" s="806"/>
      <c r="D89" s="349">
        <f t="shared" ca="1" si="18"/>
        <v>0</v>
      </c>
      <c r="E89" s="348">
        <f t="shared" ca="1" si="17"/>
        <v>0</v>
      </c>
      <c r="F89" s="348">
        <f t="shared" ca="1" si="19"/>
        <v>0</v>
      </c>
      <c r="H89" s="347">
        <v>12</v>
      </c>
      <c r="I89" s="349">
        <f ca="1">'12'!$H$38</f>
        <v>0</v>
      </c>
      <c r="J89" s="349">
        <f t="shared" ca="1" si="20"/>
        <v>0</v>
      </c>
      <c r="K89" s="349">
        <f ca="1">-'12'!$H$39</f>
        <v>0</v>
      </c>
      <c r="L89" s="349">
        <f t="shared" ca="1" si="20"/>
        <v>0</v>
      </c>
      <c r="M89" s="349">
        <f>'12'!$H$40</f>
        <v>0</v>
      </c>
      <c r="N89" s="349">
        <f t="shared" si="20"/>
        <v>0</v>
      </c>
      <c r="O89" s="349">
        <f>'12'!$H$41</f>
        <v>0</v>
      </c>
      <c r="P89" s="349">
        <f t="shared" si="20"/>
        <v>0</v>
      </c>
      <c r="Q89" s="349">
        <f ca="1">-'12'!$I$42</f>
        <v>0</v>
      </c>
      <c r="R89" s="349">
        <f t="shared" ca="1" si="21"/>
        <v>0</v>
      </c>
    </row>
    <row r="92" spans="1:18" ht="21" customHeight="1" x14ac:dyDescent="0.2">
      <c r="A92" s="786" t="s">
        <v>64</v>
      </c>
      <c r="B92" s="786" t="s">
        <v>84</v>
      </c>
      <c r="C92" s="786" t="s">
        <v>85</v>
      </c>
      <c r="D92" s="786" t="s">
        <v>135</v>
      </c>
      <c r="E92" s="786" t="s">
        <v>86</v>
      </c>
      <c r="F92" s="786" t="s">
        <v>87</v>
      </c>
    </row>
    <row r="93" spans="1:18" ht="26.25" customHeight="1" x14ac:dyDescent="0.2">
      <c r="A93" s="787"/>
      <c r="B93" s="787"/>
      <c r="C93" s="787"/>
      <c r="D93" s="787"/>
      <c r="E93" s="787"/>
      <c r="F93" s="788"/>
    </row>
    <row r="94" spans="1:18" x14ac:dyDescent="0.2">
      <c r="A94" s="43">
        <v>1</v>
      </c>
      <c r="B94" s="43">
        <f ca="1">IF(A94&gt;12,0,IF(I76=0,0,1))</f>
        <v>0</v>
      </c>
      <c r="C94" s="43">
        <f ca="1">B94</f>
        <v>0</v>
      </c>
      <c r="D94" s="43">
        <v>31</v>
      </c>
      <c r="E94" s="43">
        <f ca="1">IF('01'!$R$9="",IF(I76=0,0,D94),'01'!$R$9)</f>
        <v>0</v>
      </c>
      <c r="F94" s="43">
        <f ca="1">E94</f>
        <v>0</v>
      </c>
    </row>
    <row r="95" spans="1:18" x14ac:dyDescent="0.2">
      <c r="A95" s="47">
        <v>2</v>
      </c>
      <c r="B95" s="47">
        <f t="shared" ref="B95:B107" ca="1" si="22">IF(A95&gt;12,0,IF(I77=0,0,1))</f>
        <v>0</v>
      </c>
      <c r="C95" s="47">
        <f ca="1">C94+B95</f>
        <v>0</v>
      </c>
      <c r="D95" s="47">
        <v>28</v>
      </c>
      <c r="E95" s="47">
        <f ca="1">IF('02'!$R$9="",IF(I77=0,0,D95),'02'!$R$9)</f>
        <v>0</v>
      </c>
      <c r="F95" s="47">
        <f ca="1">F94+E95</f>
        <v>0</v>
      </c>
    </row>
    <row r="96" spans="1:18" x14ac:dyDescent="0.2">
      <c r="A96" s="47">
        <v>3</v>
      </c>
      <c r="B96" s="47">
        <f t="shared" ca="1" si="22"/>
        <v>0</v>
      </c>
      <c r="C96" s="47">
        <f t="shared" ref="C96:C107" ca="1" si="23">C95+B96</f>
        <v>0</v>
      </c>
      <c r="D96" s="47">
        <v>31</v>
      </c>
      <c r="E96" s="47">
        <f ca="1">IF('03'!$R$9="",IF(I78=0,0,D96),'03'!$R$9)</f>
        <v>0</v>
      </c>
      <c r="F96" s="47">
        <f t="shared" ref="F96:F107" ca="1" si="24">F95+E96</f>
        <v>0</v>
      </c>
    </row>
    <row r="97" spans="1:6" x14ac:dyDescent="0.2">
      <c r="A97" s="47">
        <v>4</v>
      </c>
      <c r="B97" s="47">
        <f t="shared" ca="1" si="22"/>
        <v>0</v>
      </c>
      <c r="C97" s="47">
        <f t="shared" ca="1" si="23"/>
        <v>0</v>
      </c>
      <c r="D97" s="47">
        <v>30</v>
      </c>
      <c r="E97" s="47">
        <f ca="1">IF('04'!$R$9="",IF(I79=0,0,D97),'04'!$R$9)</f>
        <v>0</v>
      </c>
      <c r="F97" s="47">
        <f t="shared" ca="1" si="24"/>
        <v>0</v>
      </c>
    </row>
    <row r="98" spans="1:6" x14ac:dyDescent="0.2">
      <c r="A98" s="47">
        <v>5</v>
      </c>
      <c r="B98" s="47">
        <f t="shared" ca="1" si="22"/>
        <v>0</v>
      </c>
      <c r="C98" s="47">
        <f t="shared" ca="1" si="23"/>
        <v>0</v>
      </c>
      <c r="D98" s="47">
        <v>31</v>
      </c>
      <c r="E98" s="47">
        <f ca="1">IF('05'!$R$9="",IF(I80=0,0,D98),'05'!$R$9)</f>
        <v>0</v>
      </c>
      <c r="F98" s="47">
        <f t="shared" ca="1" si="24"/>
        <v>0</v>
      </c>
    </row>
    <row r="99" spans="1:6" x14ac:dyDescent="0.2">
      <c r="A99" s="47">
        <v>6</v>
      </c>
      <c r="B99" s="47">
        <f t="shared" ca="1" si="22"/>
        <v>0</v>
      </c>
      <c r="C99" s="47">
        <f t="shared" ca="1" si="23"/>
        <v>0</v>
      </c>
      <c r="D99" s="47">
        <v>30</v>
      </c>
      <c r="E99" s="47">
        <f ca="1">IF('06'!$R$9="",IF(I81=0,0,D99),'06'!$R$9)</f>
        <v>0</v>
      </c>
      <c r="F99" s="47">
        <f t="shared" ca="1" si="24"/>
        <v>0</v>
      </c>
    </row>
    <row r="100" spans="1:6" x14ac:dyDescent="0.2">
      <c r="A100" s="47">
        <v>14</v>
      </c>
      <c r="B100" s="47">
        <f t="shared" si="22"/>
        <v>0</v>
      </c>
      <c r="C100" s="47">
        <f t="shared" ca="1" si="23"/>
        <v>0</v>
      </c>
      <c r="D100" s="47">
        <v>0</v>
      </c>
      <c r="E100" s="47">
        <f ca="1">IF('14'!$R$9="",IF(I82=0,0,D100),'14'!$R$9)</f>
        <v>0</v>
      </c>
      <c r="F100" s="47">
        <f t="shared" ca="1" si="24"/>
        <v>0</v>
      </c>
    </row>
    <row r="101" spans="1:6" x14ac:dyDescent="0.2">
      <c r="A101" s="47">
        <v>7</v>
      </c>
      <c r="B101" s="47">
        <f t="shared" ca="1" si="22"/>
        <v>0</v>
      </c>
      <c r="C101" s="47">
        <f t="shared" ca="1" si="23"/>
        <v>0</v>
      </c>
      <c r="D101" s="47">
        <v>31</v>
      </c>
      <c r="E101" s="47">
        <f ca="1">IF('07'!$R$9="",IF(I83=0,0,D101),'07'!$R$9)</f>
        <v>0</v>
      </c>
      <c r="F101" s="47">
        <f t="shared" ca="1" si="24"/>
        <v>0</v>
      </c>
    </row>
    <row r="102" spans="1:6" x14ac:dyDescent="0.2">
      <c r="A102" s="47">
        <v>8</v>
      </c>
      <c r="B102" s="47">
        <f t="shared" ca="1" si="22"/>
        <v>0</v>
      </c>
      <c r="C102" s="47">
        <f t="shared" ca="1" si="23"/>
        <v>0</v>
      </c>
      <c r="D102" s="47">
        <v>31</v>
      </c>
      <c r="E102" s="47">
        <f ca="1">IF('08'!$R$9="",IF(I84=0,0,D102),'08'!$R$9)</f>
        <v>0</v>
      </c>
      <c r="F102" s="47">
        <f t="shared" ca="1" si="24"/>
        <v>0</v>
      </c>
    </row>
    <row r="103" spans="1:6" x14ac:dyDescent="0.2">
      <c r="A103" s="47">
        <v>9</v>
      </c>
      <c r="B103" s="47">
        <f t="shared" ca="1" si="22"/>
        <v>0</v>
      </c>
      <c r="C103" s="47">
        <f t="shared" ca="1" si="23"/>
        <v>0</v>
      </c>
      <c r="D103" s="47">
        <v>30</v>
      </c>
      <c r="E103" s="47">
        <f ca="1">IF('09'!$R$9="",IF(I85=0,0,D103),'09'!$R$9)</f>
        <v>0</v>
      </c>
      <c r="F103" s="47">
        <f t="shared" ca="1" si="24"/>
        <v>0</v>
      </c>
    </row>
    <row r="104" spans="1:6" x14ac:dyDescent="0.2">
      <c r="A104" s="47">
        <v>10</v>
      </c>
      <c r="B104" s="47">
        <f t="shared" ca="1" si="22"/>
        <v>0</v>
      </c>
      <c r="C104" s="47">
        <f t="shared" ca="1" si="23"/>
        <v>0</v>
      </c>
      <c r="D104" s="47">
        <v>31</v>
      </c>
      <c r="E104" s="47">
        <f ca="1">IF('10'!$R$9="",IF(I86=0,0,D104),'10'!$R$9)</f>
        <v>0</v>
      </c>
      <c r="F104" s="47">
        <f t="shared" ca="1" si="24"/>
        <v>0</v>
      </c>
    </row>
    <row r="105" spans="1:6" x14ac:dyDescent="0.2">
      <c r="A105" s="47">
        <v>11</v>
      </c>
      <c r="B105" s="47">
        <f t="shared" ca="1" si="22"/>
        <v>0</v>
      </c>
      <c r="C105" s="47">
        <f t="shared" ca="1" si="23"/>
        <v>0</v>
      </c>
      <c r="D105" s="47">
        <v>30</v>
      </c>
      <c r="E105" s="47">
        <f ca="1">IF('11'!$R$9="",IF(I87=0,0,D105),'11'!$R$9)</f>
        <v>0</v>
      </c>
      <c r="F105" s="47">
        <f t="shared" ca="1" si="24"/>
        <v>0</v>
      </c>
    </row>
    <row r="106" spans="1:6" x14ac:dyDescent="0.2">
      <c r="A106" s="47">
        <v>13</v>
      </c>
      <c r="B106" s="47">
        <f t="shared" si="22"/>
        <v>0</v>
      </c>
      <c r="C106" s="47">
        <f t="shared" ca="1" si="23"/>
        <v>0</v>
      </c>
      <c r="D106" s="47">
        <v>0</v>
      </c>
      <c r="E106" s="47">
        <f ca="1">IF('13'!$R$9="",IF(I88=0,0,D106),'13'!$R$9)</f>
        <v>0</v>
      </c>
      <c r="F106" s="47">
        <f t="shared" ca="1" si="24"/>
        <v>0</v>
      </c>
    </row>
    <row r="107" spans="1:6" x14ac:dyDescent="0.2">
      <c r="A107" s="51">
        <v>12</v>
      </c>
      <c r="B107" s="51">
        <f t="shared" ca="1" si="22"/>
        <v>0</v>
      </c>
      <c r="C107" s="51">
        <f t="shared" ca="1" si="23"/>
        <v>0</v>
      </c>
      <c r="D107" s="51">
        <v>31</v>
      </c>
      <c r="E107" s="51">
        <f ca="1">IF('12'!$R$9="",IF(I89=0,0,D107),'12'!$R$9)</f>
        <v>0</v>
      </c>
      <c r="F107" s="51">
        <f t="shared" ca="1" si="24"/>
        <v>0</v>
      </c>
    </row>
    <row r="108" spans="1:6" x14ac:dyDescent="0.2">
      <c r="D108" s="51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A19" sqref="A19:C19"/>
    </sheetView>
  </sheetViews>
  <sheetFormatPr baseColWidth="10" defaultRowHeight="12.75" x14ac:dyDescent="0.2"/>
  <cols>
    <col min="1" max="1" width="3.28515625" customWidth="1"/>
    <col min="2" max="2" width="21.85546875" customWidth="1"/>
    <col min="3" max="3" width="24.7109375" customWidth="1"/>
    <col min="4" max="4" width="7.140625" customWidth="1"/>
    <col min="5" max="5" width="12.42578125" customWidth="1"/>
    <col min="6" max="6" width="12.28515625" customWidth="1"/>
    <col min="7" max="8" width="7.140625" customWidth="1"/>
    <col min="9" max="9" width="9.7109375" customWidth="1"/>
    <col min="10" max="10" width="10.28515625" customWidth="1"/>
    <col min="11" max="11" width="10.42578125" customWidth="1"/>
    <col min="12" max="12" width="6.28515625" customWidth="1"/>
    <col min="13" max="13" width="7.140625" customWidth="1"/>
    <col min="14" max="14" width="6.28515625" customWidth="1"/>
    <col min="15" max="15" width="9" customWidth="1"/>
    <col min="16" max="16" width="9.5703125" customWidth="1"/>
    <col min="17" max="27" width="7.85546875" customWidth="1"/>
  </cols>
  <sheetData>
    <row r="1" spans="1:27" x14ac:dyDescent="0.2">
      <c r="A1" s="280" t="s">
        <v>133</v>
      </c>
    </row>
    <row r="2" spans="1:27" ht="8.4499999999999993" customHeight="1" x14ac:dyDescent="0.2"/>
    <row r="3" spans="1:27" s="281" customFormat="1" ht="34.15" customHeight="1" x14ac:dyDescent="0.15">
      <c r="A3" s="815" t="str">
        <f>'[1]Mit-1'!A3:A4</f>
        <v>Nr.</v>
      </c>
      <c r="B3" s="817" t="str">
        <f>'[1]Mit-1'!B3:B4</f>
        <v>Name u. Vorname
Cognome e nome</v>
      </c>
      <c r="C3" s="817" t="str">
        <f>'[1]Mit-1'!C3:C4</f>
        <v>Anschrift
Indirizzo</v>
      </c>
      <c r="D3" s="811" t="str">
        <f>'[1]Mit-1'!D3:D4</f>
        <v>Geburts-
datum 
Data di nascita</v>
      </c>
      <c r="E3" s="817" t="str">
        <f>'[1]Mit-1'!E3:E4</f>
        <v>Geburtsort
Luogo di nascita</v>
      </c>
      <c r="F3" s="811" t="str">
        <f>'[1]Mit-1'!F3:F4</f>
        <v>Steuernummer
Codice Fiscale</v>
      </c>
      <c r="G3" s="811" t="str">
        <f>'[1]Mit-1'!G3:G4</f>
        <v>Eintritts-
datum
Data assunzione</v>
      </c>
      <c r="H3" s="813" t="str">
        <f>'[1]Mit-1'!H3:H4</f>
        <v>Austritts-datum
Data licenziam.</v>
      </c>
      <c r="I3" s="811" t="str">
        <f>'[1]Mit-1'!I3:I4</f>
        <v>Regionaler Steuerzuschlag IRPEF
Vorjahr
Addizionale regionale 
anno precedente 
(siehe unten)
(vedasi sotto)</v>
      </c>
      <c r="J3" s="820" t="str">
        <f>'[1]Mit-1'!J3:J4</f>
        <v>Gemeinde-Zusatzsteuer
Vorjahr
Addizionale comunale
anno precedente
(siehe unten)
(vedasi sotto)</v>
      </c>
      <c r="K3" s="786" t="str">
        <f>'[1]Mit-1'!K3:K4</f>
        <v>voraussichtl. Einkommen  lfd. Jahr
(für Berechnung  Absetzbeträge)
Reddito presunto anno corrente
(per il calcolo delle detrazioni d'imposta)</v>
      </c>
      <c r="L3" s="786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786" t="str">
        <f>'[1]Mit-1'!M3:M4</f>
        <v>Jährlicher Steuerabsetz-betrag für abhängige Arbeit
Detrazione annua d'imposta per lavoro dipendente</v>
      </c>
      <c r="N3" s="786" t="str">
        <f>'[1]Mit-1'!N3:N4</f>
        <v>Jährlicher Steuerabsetz-betrag für zu Lasten lebenden Ehepartner
Detrazione annua d'imposta per coniuge a carico</v>
      </c>
      <c r="O3" s="786" t="str">
        <f>'[1]Mit-1'!O3:O4</f>
        <v>Jährlicher Steuerabsetz-
betrag für zu Lasten lebende Kinder 21-24 J.
Detrazione annua dal reddito per figli a carico 
21-24 a.</v>
      </c>
      <c r="P3" s="786" t="str">
        <f>'[1]Mit-1'!P3:P4</f>
        <v xml:space="preserve">Jährlicher Steuerabsetz-
betrag für andere zu Lasten lebende Personen
Detrazione annua dal reddito per altre persone a carico 
</v>
      </c>
      <c r="Q3" s="786" t="str">
        <f>'[1]Mit-1'!Q3:Q4</f>
        <v>Gemeinde-
zusatz-
steuer
Addizion. comunale
%</v>
      </c>
      <c r="R3" s="786" t="str">
        <f>'[1]Mit-1'!R3:R4</f>
        <v>Zusatzrenten-fonds
Arbeitnehmer
%
Fondi di previdenza complem. dipendente
%</v>
      </c>
      <c r="S3" s="786" t="str">
        <f>'[1]Mit-1'!S3:S4</f>
        <v>Regionale Zusatz-
steuer
%
Addizion. regionale 
%</v>
      </c>
      <c r="T3" s="786" t="str">
        <f>'[1]Mit-1'!U3:U4</f>
        <v>Abfertigungs-fonds Vorjahr
Fondo TFR 
anno precedente</v>
      </c>
      <c r="U3" s="392"/>
      <c r="V3" s="823" t="s">
        <v>210</v>
      </c>
      <c r="W3" s="823"/>
      <c r="X3" s="823"/>
      <c r="Y3" s="823"/>
      <c r="Z3" s="823"/>
      <c r="AA3" s="822" t="s">
        <v>211</v>
      </c>
    </row>
    <row r="4" spans="1:27" s="282" customFormat="1" ht="77.25" customHeight="1" x14ac:dyDescent="0.2">
      <c r="A4" s="816"/>
      <c r="B4" s="818"/>
      <c r="C4" s="818"/>
      <c r="D4" s="812"/>
      <c r="E4" s="818"/>
      <c r="F4" s="819"/>
      <c r="G4" s="812"/>
      <c r="H4" s="814"/>
      <c r="I4" s="812"/>
      <c r="J4" s="821"/>
      <c r="K4" s="788"/>
      <c r="L4" s="788"/>
      <c r="M4" s="788"/>
      <c r="N4" s="788"/>
      <c r="O4" s="788"/>
      <c r="P4" s="788"/>
      <c r="Q4" s="788"/>
      <c r="R4" s="788"/>
      <c r="S4" s="788"/>
      <c r="T4" s="788"/>
      <c r="U4" s="394" t="s">
        <v>212</v>
      </c>
      <c r="V4" s="394" t="s">
        <v>213</v>
      </c>
      <c r="W4" s="392" t="s">
        <v>214</v>
      </c>
      <c r="X4" s="392" t="s">
        <v>215</v>
      </c>
      <c r="Y4" s="392" t="s">
        <v>216</v>
      </c>
      <c r="Z4" s="392" t="s">
        <v>217</v>
      </c>
      <c r="AA4" s="822"/>
    </row>
    <row r="5" spans="1:27" s="281" customFormat="1" ht="13.15" customHeight="1" x14ac:dyDescent="0.15">
      <c r="A5" s="395">
        <f>'[1]Mit-1'!A5</f>
        <v>1</v>
      </c>
      <c r="B5" s="396" t="str">
        <f>'[1]Mit-1'!B5</f>
        <v>Mustermann Max</v>
      </c>
      <c r="C5" s="396" t="str">
        <f>'[1]Mit-1'!C5</f>
        <v>39100 Bozen, Brennerstrasse 2</v>
      </c>
      <c r="D5" s="397">
        <f>'[1]Mit-1'!D5</f>
        <v>30723</v>
      </c>
      <c r="E5" s="396" t="str">
        <f>'[1]Mit-1'!E5</f>
        <v>Bruneck</v>
      </c>
      <c r="F5" s="393" t="str">
        <f>'[1]Mit-1'!F5</f>
        <v>AAABBB84B11B220G</v>
      </c>
      <c r="G5" s="397">
        <f>'[1]Mit-1'!G5</f>
        <v>44075</v>
      </c>
      <c r="H5" s="397">
        <f>'[1]Mit-1'!H5</f>
        <v>0</v>
      </c>
      <c r="I5" s="398">
        <f>'[1]Mit-1'!I5</f>
        <v>135</v>
      </c>
      <c r="J5" s="398">
        <f>'[1]Mit-1'!J5</f>
        <v>62</v>
      </c>
      <c r="K5" s="398">
        <f>'[1]Mit-1'!K5</f>
        <v>27000</v>
      </c>
      <c r="L5" s="399">
        <f>'[1]Mit-1'!L5</f>
        <v>0</v>
      </c>
      <c r="M5" s="399">
        <f>'[1]Mit-1'!M5</f>
        <v>2066.5100000000002</v>
      </c>
      <c r="N5" s="399">
        <f>'[1]Mit-1'!N5</f>
        <v>690</v>
      </c>
      <c r="O5" s="398">
        <f>'[1]Mit-1'!O5</f>
        <v>679.92</v>
      </c>
      <c r="P5" s="400">
        <f>'[1]Mit-1'!P5</f>
        <v>993.76</v>
      </c>
      <c r="Q5" s="401">
        <f>'[1]Mit-1'!Q5</f>
        <v>3.0000000000000001E-3</v>
      </c>
      <c r="R5" s="401">
        <f>'[1]Mit-1'!R5</f>
        <v>5.4999999999999997E-3</v>
      </c>
      <c r="S5" s="401">
        <f>'[1]Mit-1'!S5</f>
        <v>1.23E-2</v>
      </c>
      <c r="T5" s="400">
        <f>'[1]Mit-1'!U5</f>
        <v>2200</v>
      </c>
      <c r="U5" s="400" t="str">
        <f>'[1]Mit-1'!V5</f>
        <v>Ja</v>
      </c>
      <c r="V5" s="400" t="str">
        <f>'[1]Mit-1'!W5</f>
        <v>Nein</v>
      </c>
      <c r="W5" s="400">
        <f>'[1]Mit-1'!X5</f>
        <v>3</v>
      </c>
      <c r="X5" s="400">
        <f>'[1]Mit-1'!Y5</f>
        <v>1</v>
      </c>
      <c r="Y5" s="400">
        <f>'[1]Mit-1'!Z5</f>
        <v>0</v>
      </c>
      <c r="Z5" s="400">
        <f>'[1]Mit-1'!AA5</f>
        <v>0</v>
      </c>
      <c r="AA5" s="400">
        <f>'[1]Mit-1'!AB5</f>
        <v>2</v>
      </c>
    </row>
    <row r="6" spans="1:27" s="281" customFormat="1" ht="13.15" customHeight="1" x14ac:dyDescent="0.15">
      <c r="A6" s="395">
        <f>'[1]Mit-1'!A6</f>
        <v>2</v>
      </c>
      <c r="B6" s="396" t="str">
        <f>'[1]Mit-1'!B6</f>
        <v>Mustermann Maria</v>
      </c>
      <c r="C6" s="396" t="str">
        <f>'[1]Mit-1'!C6</f>
        <v>39012 Meran, Rennweg 27</v>
      </c>
      <c r="D6" s="397">
        <f>'[1]Mit-1'!D6</f>
        <v>32905</v>
      </c>
      <c r="E6" s="396" t="str">
        <f>'[1]Mit-1'!E6</f>
        <v>Meran</v>
      </c>
      <c r="F6" s="393" t="str">
        <f>'[1]Mit-1'!F6</f>
        <v>AAABBB84B11B220G</v>
      </c>
      <c r="G6" s="397">
        <f>'[1]Mit-1'!G6</f>
        <v>44531</v>
      </c>
      <c r="H6" s="397">
        <f>'[1]Mit-1'!H6</f>
        <v>0</v>
      </c>
      <c r="I6" s="398">
        <f>'[1]Mit-1'!I6</f>
        <v>85</v>
      </c>
      <c r="J6" s="398">
        <f>'[1]Mit-1'!J6</f>
        <v>44</v>
      </c>
      <c r="K6" s="398">
        <f>'[1]Mit-1'!K6</f>
        <v>22000</v>
      </c>
      <c r="L6" s="399">
        <f>'[1]Mit-1'!L6</f>
        <v>0</v>
      </c>
      <c r="M6" s="399">
        <f>'[1]Mit-1'!M6</f>
        <v>2459.19</v>
      </c>
      <c r="N6" s="399">
        <f>'[1]Mit-1'!N6</f>
        <v>690</v>
      </c>
      <c r="O6" s="398">
        <f>'[1]Mit-1'!O6</f>
        <v>0</v>
      </c>
      <c r="P6" s="400">
        <f>'[1]Mit-1'!P6</f>
        <v>0</v>
      </c>
      <c r="Q6" s="401">
        <f>'[1]Mit-1'!Q6</f>
        <v>3.0000000000000001E-3</v>
      </c>
      <c r="R6" s="401">
        <f>'[1]Mit-1'!R6</f>
        <v>5.4999999999999997E-3</v>
      </c>
      <c r="S6" s="401">
        <f>'[1]Mit-1'!S6</f>
        <v>1.23E-2</v>
      </c>
      <c r="T6" s="400">
        <f>'[1]Mit-1'!U6</f>
        <v>300</v>
      </c>
      <c r="U6" s="400" t="str">
        <f>'[1]Mit-1'!V6</f>
        <v>Ja</v>
      </c>
      <c r="V6" s="400" t="str">
        <f>'[1]Mit-1'!W6</f>
        <v>Nein</v>
      </c>
      <c r="W6" s="400">
        <f>'[1]Mit-1'!X6</f>
        <v>0</v>
      </c>
      <c r="X6" s="400">
        <f>'[1]Mit-1'!Y6</f>
        <v>0</v>
      </c>
      <c r="Y6" s="400">
        <f>'[1]Mit-1'!Z6</f>
        <v>0</v>
      </c>
      <c r="Z6" s="400">
        <f>'[1]Mit-1'!AA6</f>
        <v>0</v>
      </c>
      <c r="AA6" s="400">
        <f>'[1]Mit-1'!AB6</f>
        <v>0</v>
      </c>
    </row>
    <row r="7" spans="1:27" s="281" customFormat="1" ht="13.15" customHeight="1" x14ac:dyDescent="0.15">
      <c r="A7" s="395">
        <f>'[1]Mit-1'!A7</f>
        <v>3</v>
      </c>
      <c r="B7" s="396">
        <f>'[1]Mit-1'!B7</f>
        <v>0</v>
      </c>
      <c r="C7" s="396">
        <f>'[1]Mit-1'!C7</f>
        <v>0</v>
      </c>
      <c r="D7" s="397">
        <f>'[1]Mit-1'!D7</f>
        <v>0</v>
      </c>
      <c r="E7" s="396">
        <f>'[1]Mit-1'!E7</f>
        <v>0</v>
      </c>
      <c r="F7" s="393">
        <f>'[1]Mit-1'!F7</f>
        <v>0</v>
      </c>
      <c r="G7" s="397">
        <f>'[1]Mit-1'!G7</f>
        <v>0</v>
      </c>
      <c r="H7" s="397">
        <f>'[1]Mit-1'!H7</f>
        <v>0</v>
      </c>
      <c r="I7" s="398">
        <f>'[1]Mit-1'!I7</f>
        <v>0</v>
      </c>
      <c r="J7" s="398">
        <f>'[1]Mit-1'!J7</f>
        <v>0</v>
      </c>
      <c r="K7" s="398">
        <f>'[1]Mit-1'!K7</f>
        <v>0</v>
      </c>
      <c r="L7" s="399">
        <f>'[1]Mit-1'!L7</f>
        <v>0</v>
      </c>
      <c r="M7" s="399">
        <f>'[1]Mit-1'!M7</f>
        <v>0</v>
      </c>
      <c r="N7" s="399">
        <f>'[1]Mit-1'!N7</f>
        <v>0</v>
      </c>
      <c r="O7" s="398">
        <f>'[1]Mit-1'!O7</f>
        <v>0</v>
      </c>
      <c r="P7" s="400">
        <f>'[1]Mit-1'!P7</f>
        <v>0</v>
      </c>
      <c r="Q7" s="401">
        <f>'[1]Mit-1'!Q7</f>
        <v>0</v>
      </c>
      <c r="R7" s="401">
        <f>'[1]Mit-1'!R7</f>
        <v>0</v>
      </c>
      <c r="S7" s="401">
        <f>'[1]Mit-1'!S7</f>
        <v>0</v>
      </c>
      <c r="T7" s="400">
        <f>'[1]Mit-1'!U7</f>
        <v>0</v>
      </c>
      <c r="U7" s="400">
        <f>'[1]Mit-1'!V7</f>
        <v>0</v>
      </c>
      <c r="V7" s="400">
        <f>'[1]Mit-1'!W7</f>
        <v>0</v>
      </c>
      <c r="W7" s="400">
        <f>'[1]Mit-1'!X7</f>
        <v>2</v>
      </c>
      <c r="X7" s="400">
        <f>'[1]Mit-1'!Y7</f>
        <v>0</v>
      </c>
      <c r="Y7" s="400">
        <f>'[1]Mit-1'!Z7</f>
        <v>0</v>
      </c>
      <c r="Z7" s="400">
        <f>'[1]Mit-1'!AA7</f>
        <v>0</v>
      </c>
      <c r="AA7" s="400">
        <f>'[1]Mit-1'!AB7</f>
        <v>0</v>
      </c>
    </row>
    <row r="8" spans="1:27" s="281" customFormat="1" ht="13.15" customHeight="1" x14ac:dyDescent="0.15">
      <c r="A8" s="395">
        <f>'[1]Mit-1'!A8</f>
        <v>4</v>
      </c>
      <c r="B8" s="396">
        <f>'[1]Mit-1'!B8</f>
        <v>0</v>
      </c>
      <c r="C8" s="396">
        <f>'[1]Mit-1'!C8</f>
        <v>0</v>
      </c>
      <c r="D8" s="397">
        <f>'[1]Mit-1'!D8</f>
        <v>0</v>
      </c>
      <c r="E8" s="396">
        <f>'[1]Mit-1'!E8</f>
        <v>0</v>
      </c>
      <c r="F8" s="393">
        <f>'[1]Mit-1'!F8</f>
        <v>0</v>
      </c>
      <c r="G8" s="397">
        <f>'[1]Mit-1'!G8</f>
        <v>0</v>
      </c>
      <c r="H8" s="397">
        <f>'[1]Mit-1'!H8</f>
        <v>0</v>
      </c>
      <c r="I8" s="398">
        <f>'[1]Mit-1'!I8</f>
        <v>0</v>
      </c>
      <c r="J8" s="398">
        <f>'[1]Mit-1'!J8</f>
        <v>0</v>
      </c>
      <c r="K8" s="398">
        <f>'[1]Mit-1'!K8</f>
        <v>0</v>
      </c>
      <c r="L8" s="399">
        <f>'[1]Mit-1'!L8</f>
        <v>0</v>
      </c>
      <c r="M8" s="399">
        <f>'[1]Mit-1'!M8</f>
        <v>0</v>
      </c>
      <c r="N8" s="399">
        <f>'[1]Mit-1'!N8</f>
        <v>0</v>
      </c>
      <c r="O8" s="398">
        <f>'[1]Mit-1'!O8</f>
        <v>0</v>
      </c>
      <c r="P8" s="400">
        <f>'[1]Mit-1'!P8</f>
        <v>0</v>
      </c>
      <c r="Q8" s="401">
        <f>'[1]Mit-1'!Q8</f>
        <v>0</v>
      </c>
      <c r="R8" s="401">
        <f>'[1]Mit-1'!R8</f>
        <v>0</v>
      </c>
      <c r="S8" s="401">
        <f>'[1]Mit-1'!S8</f>
        <v>0</v>
      </c>
      <c r="T8" s="400">
        <f>'[1]Mit-1'!U8</f>
        <v>0</v>
      </c>
      <c r="U8" s="400">
        <f>'[1]Mit-1'!V8</f>
        <v>0</v>
      </c>
      <c r="V8" s="400">
        <f>'[1]Mit-1'!W8</f>
        <v>0</v>
      </c>
      <c r="W8" s="400">
        <f>'[1]Mit-1'!X8</f>
        <v>0</v>
      </c>
      <c r="X8" s="400">
        <f>'[1]Mit-1'!Y8</f>
        <v>0</v>
      </c>
      <c r="Y8" s="400">
        <f>'[1]Mit-1'!Z8</f>
        <v>0</v>
      </c>
      <c r="Z8" s="400">
        <f>'[1]Mit-1'!AA8</f>
        <v>0</v>
      </c>
      <c r="AA8" s="400">
        <f>'[1]Mit-1'!AB8</f>
        <v>0</v>
      </c>
    </row>
    <row r="9" spans="1:27" s="281" customFormat="1" ht="13.15" customHeight="1" x14ac:dyDescent="0.15">
      <c r="A9" s="395">
        <f>'[1]Mit-1'!A9</f>
        <v>5</v>
      </c>
      <c r="B9" s="396">
        <f>'[1]Mit-1'!B9</f>
        <v>0</v>
      </c>
      <c r="C9" s="396">
        <f>'[1]Mit-1'!C9</f>
        <v>0</v>
      </c>
      <c r="D9" s="397">
        <f>'[1]Mit-1'!D9</f>
        <v>0</v>
      </c>
      <c r="E9" s="396">
        <f>'[1]Mit-1'!E9</f>
        <v>0</v>
      </c>
      <c r="F9" s="393">
        <f>'[1]Mit-1'!F9</f>
        <v>0</v>
      </c>
      <c r="G9" s="397">
        <f>'[1]Mit-1'!G9</f>
        <v>0</v>
      </c>
      <c r="H9" s="397">
        <f>'[1]Mit-1'!H9</f>
        <v>0</v>
      </c>
      <c r="I9" s="398">
        <f>'[1]Mit-1'!I9</f>
        <v>0</v>
      </c>
      <c r="J9" s="398">
        <f>'[1]Mit-1'!J9</f>
        <v>0</v>
      </c>
      <c r="K9" s="398">
        <f>'[1]Mit-1'!K9</f>
        <v>0</v>
      </c>
      <c r="L9" s="399">
        <f>'[1]Mit-1'!L9</f>
        <v>0</v>
      </c>
      <c r="M9" s="399">
        <f>'[1]Mit-1'!M9</f>
        <v>0</v>
      </c>
      <c r="N9" s="399">
        <f>'[1]Mit-1'!N9</f>
        <v>0</v>
      </c>
      <c r="O9" s="398">
        <f>'[1]Mit-1'!O9</f>
        <v>0</v>
      </c>
      <c r="P9" s="400">
        <f>'[1]Mit-1'!P9</f>
        <v>0</v>
      </c>
      <c r="Q9" s="401">
        <f>'[1]Mit-1'!Q9</f>
        <v>0</v>
      </c>
      <c r="R9" s="401">
        <f>'[1]Mit-1'!R9</f>
        <v>0</v>
      </c>
      <c r="S9" s="401">
        <f>'[1]Mit-1'!S9</f>
        <v>0</v>
      </c>
      <c r="T9" s="400">
        <f>'[1]Mit-1'!U9</f>
        <v>0</v>
      </c>
      <c r="U9" s="400">
        <f>'[1]Mit-1'!V9</f>
        <v>0</v>
      </c>
      <c r="V9" s="400">
        <f>'[1]Mit-1'!W9</f>
        <v>0</v>
      </c>
      <c r="W9" s="400">
        <f>'[1]Mit-1'!X9</f>
        <v>0</v>
      </c>
      <c r="X9" s="400">
        <f>'[1]Mit-1'!Y9</f>
        <v>0</v>
      </c>
      <c r="Y9" s="400">
        <f>'[1]Mit-1'!Z9</f>
        <v>0</v>
      </c>
      <c r="Z9" s="400">
        <f>'[1]Mit-1'!AA9</f>
        <v>0</v>
      </c>
      <c r="AA9" s="400">
        <f>'[1]Mit-1'!AB9</f>
        <v>0</v>
      </c>
    </row>
    <row r="10" spans="1:27" s="281" customFormat="1" ht="13.15" customHeight="1" x14ac:dyDescent="0.15">
      <c r="A10" s="395">
        <f>'[1]Mit-1'!A10</f>
        <v>6</v>
      </c>
      <c r="B10" s="396">
        <f>'[1]Mit-1'!B10</f>
        <v>0</v>
      </c>
      <c r="C10" s="396">
        <f>'[1]Mit-1'!C10</f>
        <v>0</v>
      </c>
      <c r="D10" s="397">
        <f>'[1]Mit-1'!D10</f>
        <v>0</v>
      </c>
      <c r="E10" s="396">
        <f>'[1]Mit-1'!E10</f>
        <v>0</v>
      </c>
      <c r="F10" s="393">
        <f>'[1]Mit-1'!F10</f>
        <v>0</v>
      </c>
      <c r="G10" s="397">
        <f>'[1]Mit-1'!G10</f>
        <v>0</v>
      </c>
      <c r="H10" s="397">
        <f>'[1]Mit-1'!H10</f>
        <v>0</v>
      </c>
      <c r="I10" s="398">
        <f>'[1]Mit-1'!I10</f>
        <v>0</v>
      </c>
      <c r="J10" s="398">
        <f>'[1]Mit-1'!J10</f>
        <v>0</v>
      </c>
      <c r="K10" s="398">
        <f>'[1]Mit-1'!K10</f>
        <v>0</v>
      </c>
      <c r="L10" s="399">
        <f>'[1]Mit-1'!L10</f>
        <v>0</v>
      </c>
      <c r="M10" s="399">
        <f>'[1]Mit-1'!M10</f>
        <v>0</v>
      </c>
      <c r="N10" s="399">
        <f>'[1]Mit-1'!N10</f>
        <v>0</v>
      </c>
      <c r="O10" s="398">
        <f>'[1]Mit-1'!O10</f>
        <v>0</v>
      </c>
      <c r="P10" s="400">
        <f>'[1]Mit-1'!P10</f>
        <v>0</v>
      </c>
      <c r="Q10" s="401">
        <f>'[1]Mit-1'!Q10</f>
        <v>0</v>
      </c>
      <c r="R10" s="401">
        <f>'[1]Mit-1'!R10</f>
        <v>0</v>
      </c>
      <c r="S10" s="401">
        <f>'[1]Mit-1'!S10</f>
        <v>0</v>
      </c>
      <c r="T10" s="400">
        <f>'[1]Mit-1'!U10</f>
        <v>0</v>
      </c>
      <c r="U10" s="400">
        <f>'[1]Mit-1'!V10</f>
        <v>0</v>
      </c>
      <c r="V10" s="400">
        <f>'[1]Mit-1'!W10</f>
        <v>0</v>
      </c>
      <c r="W10" s="400">
        <f>'[1]Mit-1'!X10</f>
        <v>0</v>
      </c>
      <c r="X10" s="400">
        <f>'[1]Mit-1'!Y10</f>
        <v>0</v>
      </c>
      <c r="Y10" s="400">
        <f>'[1]Mit-1'!Z10</f>
        <v>0</v>
      </c>
      <c r="Z10" s="400">
        <f>'[1]Mit-1'!AA10</f>
        <v>0</v>
      </c>
      <c r="AA10" s="400">
        <f>'[1]Mit-1'!AB10</f>
        <v>0</v>
      </c>
    </row>
    <row r="11" spans="1:27" s="281" customFormat="1" ht="13.15" customHeight="1" x14ac:dyDescent="0.15">
      <c r="A11" s="395">
        <f>'[1]Mit-1'!A11</f>
        <v>7</v>
      </c>
      <c r="B11" s="396">
        <f>'[1]Mit-1'!B11</f>
        <v>0</v>
      </c>
      <c r="C11" s="396">
        <f>'[1]Mit-1'!C11</f>
        <v>0</v>
      </c>
      <c r="D11" s="397">
        <f>'[1]Mit-1'!D11</f>
        <v>0</v>
      </c>
      <c r="E11" s="396">
        <f>'[1]Mit-1'!E11</f>
        <v>0</v>
      </c>
      <c r="F11" s="393">
        <f>'[1]Mit-1'!F11</f>
        <v>0</v>
      </c>
      <c r="G11" s="397">
        <f>'[1]Mit-1'!G11</f>
        <v>0</v>
      </c>
      <c r="H11" s="397">
        <f>'[1]Mit-1'!H11</f>
        <v>0</v>
      </c>
      <c r="I11" s="398">
        <f>'[1]Mit-1'!I11</f>
        <v>0</v>
      </c>
      <c r="J11" s="398">
        <f>'[1]Mit-1'!J11</f>
        <v>0</v>
      </c>
      <c r="K11" s="398">
        <f>'[1]Mit-1'!K11</f>
        <v>0</v>
      </c>
      <c r="L11" s="399">
        <f>'[1]Mit-1'!L11</f>
        <v>0</v>
      </c>
      <c r="M11" s="399">
        <f>'[1]Mit-1'!M11</f>
        <v>0</v>
      </c>
      <c r="N11" s="399">
        <f>'[1]Mit-1'!N11</f>
        <v>0</v>
      </c>
      <c r="O11" s="398">
        <f>'[1]Mit-1'!O11</f>
        <v>0</v>
      </c>
      <c r="P11" s="400">
        <f>'[1]Mit-1'!P11</f>
        <v>0</v>
      </c>
      <c r="Q11" s="401">
        <f>'[1]Mit-1'!Q11</f>
        <v>0</v>
      </c>
      <c r="R11" s="401">
        <f>'[1]Mit-1'!R11</f>
        <v>0</v>
      </c>
      <c r="S11" s="401">
        <f>'[1]Mit-1'!S11</f>
        <v>0</v>
      </c>
      <c r="T11" s="400">
        <f>'[1]Mit-1'!U11</f>
        <v>0</v>
      </c>
      <c r="U11" s="400">
        <f>'[1]Mit-1'!V11</f>
        <v>0</v>
      </c>
      <c r="V11" s="400">
        <f>'[1]Mit-1'!W11</f>
        <v>0</v>
      </c>
      <c r="W11" s="400">
        <f>'[1]Mit-1'!X11</f>
        <v>0</v>
      </c>
      <c r="X11" s="400">
        <f>'[1]Mit-1'!Y11</f>
        <v>0</v>
      </c>
      <c r="Y11" s="400">
        <f>'[1]Mit-1'!Z11</f>
        <v>0</v>
      </c>
      <c r="Z11" s="400">
        <f>'[1]Mit-1'!AA11</f>
        <v>0</v>
      </c>
      <c r="AA11" s="400">
        <f>'[1]Mit-1'!AB11</f>
        <v>0</v>
      </c>
    </row>
    <row r="12" spans="1:27" s="281" customFormat="1" ht="13.15" customHeight="1" x14ac:dyDescent="0.15">
      <c r="A12" s="395">
        <f>'[1]Mit-1'!A12</f>
        <v>8</v>
      </c>
      <c r="B12" s="396">
        <f>'[1]Mit-1'!B12</f>
        <v>0</v>
      </c>
      <c r="C12" s="396">
        <f>'[1]Mit-1'!C12</f>
        <v>0</v>
      </c>
      <c r="D12" s="397">
        <f>'[1]Mit-1'!D12</f>
        <v>0</v>
      </c>
      <c r="E12" s="396">
        <f>'[1]Mit-1'!E12</f>
        <v>0</v>
      </c>
      <c r="F12" s="393">
        <f>'[1]Mit-1'!F12</f>
        <v>0</v>
      </c>
      <c r="G12" s="397">
        <f>'[1]Mit-1'!G12</f>
        <v>0</v>
      </c>
      <c r="H12" s="397">
        <f>'[1]Mit-1'!H12</f>
        <v>0</v>
      </c>
      <c r="I12" s="398">
        <f>'[1]Mit-1'!I12</f>
        <v>0</v>
      </c>
      <c r="J12" s="398">
        <f>'[1]Mit-1'!J12</f>
        <v>0</v>
      </c>
      <c r="K12" s="398">
        <f>'[1]Mit-1'!K12</f>
        <v>0</v>
      </c>
      <c r="L12" s="399">
        <f>'[1]Mit-1'!L12</f>
        <v>0</v>
      </c>
      <c r="M12" s="399">
        <f>'[1]Mit-1'!M12</f>
        <v>0</v>
      </c>
      <c r="N12" s="399">
        <f>'[1]Mit-1'!N12</f>
        <v>0</v>
      </c>
      <c r="O12" s="398">
        <f>'[1]Mit-1'!O12</f>
        <v>0</v>
      </c>
      <c r="P12" s="400">
        <f>'[1]Mit-1'!P12</f>
        <v>0</v>
      </c>
      <c r="Q12" s="401">
        <f>'[1]Mit-1'!Q12</f>
        <v>0</v>
      </c>
      <c r="R12" s="401">
        <f>'[1]Mit-1'!R12</f>
        <v>0</v>
      </c>
      <c r="S12" s="401">
        <f>'[1]Mit-1'!S12</f>
        <v>0</v>
      </c>
      <c r="T12" s="400">
        <f>'[1]Mit-1'!U12</f>
        <v>0</v>
      </c>
      <c r="U12" s="400">
        <f>'[1]Mit-1'!V12</f>
        <v>0</v>
      </c>
      <c r="V12" s="400">
        <f>'[1]Mit-1'!W12</f>
        <v>0</v>
      </c>
      <c r="W12" s="400">
        <f>'[1]Mit-1'!X12</f>
        <v>0</v>
      </c>
      <c r="X12" s="400">
        <f>'[1]Mit-1'!Y12</f>
        <v>0</v>
      </c>
      <c r="Y12" s="400">
        <f>'[1]Mit-1'!Z12</f>
        <v>0</v>
      </c>
      <c r="Z12" s="400">
        <f>'[1]Mit-1'!AA12</f>
        <v>0</v>
      </c>
      <c r="AA12" s="400">
        <f>'[1]Mit-1'!AB12</f>
        <v>0</v>
      </c>
    </row>
    <row r="13" spans="1:27" s="281" customFormat="1" ht="13.15" customHeight="1" x14ac:dyDescent="0.15">
      <c r="A13" s="395">
        <f>'[1]Mit-1'!A13</f>
        <v>9</v>
      </c>
      <c r="B13" s="396">
        <f>'[1]Mit-1'!B13</f>
        <v>0</v>
      </c>
      <c r="C13" s="396">
        <f>'[1]Mit-1'!C13</f>
        <v>0</v>
      </c>
      <c r="D13" s="397">
        <f>'[1]Mit-1'!D13</f>
        <v>0</v>
      </c>
      <c r="E13" s="396">
        <f>'[1]Mit-1'!E13</f>
        <v>0</v>
      </c>
      <c r="F13" s="393">
        <f>'[1]Mit-1'!F13</f>
        <v>0</v>
      </c>
      <c r="G13" s="397">
        <f>'[1]Mit-1'!G13</f>
        <v>0</v>
      </c>
      <c r="H13" s="397">
        <f>'[1]Mit-1'!H13</f>
        <v>0</v>
      </c>
      <c r="I13" s="398">
        <f>'[1]Mit-1'!I13</f>
        <v>0</v>
      </c>
      <c r="J13" s="398">
        <f>'[1]Mit-1'!J13</f>
        <v>0</v>
      </c>
      <c r="K13" s="398">
        <f>'[1]Mit-1'!K13</f>
        <v>0</v>
      </c>
      <c r="L13" s="399">
        <f>'[1]Mit-1'!L13</f>
        <v>0</v>
      </c>
      <c r="M13" s="399">
        <f>'[1]Mit-1'!M13</f>
        <v>0</v>
      </c>
      <c r="N13" s="399">
        <f>'[1]Mit-1'!N13</f>
        <v>0</v>
      </c>
      <c r="O13" s="398">
        <f>'[1]Mit-1'!O13</f>
        <v>0</v>
      </c>
      <c r="P13" s="400">
        <f>'[1]Mit-1'!P13</f>
        <v>0</v>
      </c>
      <c r="Q13" s="401">
        <f>'[1]Mit-1'!Q13</f>
        <v>0</v>
      </c>
      <c r="R13" s="401">
        <f>'[1]Mit-1'!R13</f>
        <v>0</v>
      </c>
      <c r="S13" s="401">
        <f>'[1]Mit-1'!S13</f>
        <v>0</v>
      </c>
      <c r="T13" s="400">
        <f>'[1]Mit-1'!U13</f>
        <v>0</v>
      </c>
      <c r="U13" s="400">
        <f>'[1]Mit-1'!V13</f>
        <v>0</v>
      </c>
      <c r="V13" s="400">
        <f>'[1]Mit-1'!W13</f>
        <v>0</v>
      </c>
      <c r="W13" s="400">
        <f>'[1]Mit-1'!X13</f>
        <v>0</v>
      </c>
      <c r="X13" s="400">
        <f>'[1]Mit-1'!Y13</f>
        <v>0</v>
      </c>
      <c r="Y13" s="400">
        <f>'[1]Mit-1'!Z13</f>
        <v>0</v>
      </c>
      <c r="Z13" s="400">
        <f>'[1]Mit-1'!AA13</f>
        <v>0</v>
      </c>
      <c r="AA13" s="400">
        <f>'[1]Mit-1'!AB13</f>
        <v>0</v>
      </c>
    </row>
    <row r="14" spans="1:27" s="281" customFormat="1" ht="13.15" customHeight="1" x14ac:dyDescent="0.15">
      <c r="A14" s="395">
        <f>'[1]Mit-1'!A14</f>
        <v>10</v>
      </c>
      <c r="B14" s="396">
        <f>'[1]Mit-1'!B14</f>
        <v>0</v>
      </c>
      <c r="C14" s="396">
        <f>'[1]Mit-1'!C14</f>
        <v>0</v>
      </c>
      <c r="D14" s="397">
        <f>'[1]Mit-1'!D14</f>
        <v>0</v>
      </c>
      <c r="E14" s="396">
        <f>'[1]Mit-1'!E14</f>
        <v>0</v>
      </c>
      <c r="F14" s="393">
        <f>'[1]Mit-1'!F14</f>
        <v>0</v>
      </c>
      <c r="G14" s="397">
        <f>'[1]Mit-1'!G14</f>
        <v>0</v>
      </c>
      <c r="H14" s="397">
        <f>'[1]Mit-1'!H14</f>
        <v>0</v>
      </c>
      <c r="I14" s="398">
        <f>'[1]Mit-1'!I14</f>
        <v>0</v>
      </c>
      <c r="J14" s="398">
        <f>'[1]Mit-1'!J14</f>
        <v>0</v>
      </c>
      <c r="K14" s="398">
        <f>'[1]Mit-1'!K14</f>
        <v>0</v>
      </c>
      <c r="L14" s="399">
        <f>'[1]Mit-1'!L14</f>
        <v>0</v>
      </c>
      <c r="M14" s="399">
        <f>'[1]Mit-1'!M14</f>
        <v>0</v>
      </c>
      <c r="N14" s="399">
        <f>'[1]Mit-1'!N14</f>
        <v>0</v>
      </c>
      <c r="O14" s="398">
        <f>'[1]Mit-1'!O14</f>
        <v>0</v>
      </c>
      <c r="P14" s="400">
        <f>'[1]Mit-1'!P14</f>
        <v>0</v>
      </c>
      <c r="Q14" s="401">
        <f>'[1]Mit-1'!Q14</f>
        <v>0</v>
      </c>
      <c r="R14" s="401">
        <f>'[1]Mit-1'!R14</f>
        <v>0</v>
      </c>
      <c r="S14" s="401">
        <f>'[1]Mit-1'!S14</f>
        <v>0</v>
      </c>
      <c r="T14" s="400">
        <f>'[1]Mit-1'!U14</f>
        <v>0</v>
      </c>
      <c r="U14" s="400">
        <f>'[1]Mit-1'!V14</f>
        <v>0</v>
      </c>
      <c r="V14" s="400">
        <f>'[1]Mit-1'!W14</f>
        <v>0</v>
      </c>
      <c r="W14" s="400">
        <f>'[1]Mit-1'!X14</f>
        <v>0</v>
      </c>
      <c r="X14" s="400">
        <f>'[1]Mit-1'!Y14</f>
        <v>0</v>
      </c>
      <c r="Y14" s="400">
        <f>'[1]Mit-1'!Z14</f>
        <v>0</v>
      </c>
      <c r="Z14" s="400">
        <f>'[1]Mit-1'!AA14</f>
        <v>0</v>
      </c>
      <c r="AA14" s="400">
        <f>'[1]Mit-1'!AB14</f>
        <v>0</v>
      </c>
    </row>
    <row r="15" spans="1:27" s="281" customFormat="1" ht="13.15" customHeight="1" x14ac:dyDescent="0.15">
      <c r="A15" s="395">
        <f>'[1]Mit-1'!A15</f>
        <v>11</v>
      </c>
      <c r="B15" s="396">
        <f>'[1]Mit-1'!B15</f>
        <v>0</v>
      </c>
      <c r="C15" s="396">
        <f>'[1]Mit-1'!C15</f>
        <v>0</v>
      </c>
      <c r="D15" s="397">
        <f>'[1]Mit-1'!D15</f>
        <v>0</v>
      </c>
      <c r="E15" s="396">
        <f>'[1]Mit-1'!E15</f>
        <v>0</v>
      </c>
      <c r="F15" s="393">
        <f>'[1]Mit-1'!F15</f>
        <v>0</v>
      </c>
      <c r="G15" s="397">
        <f>'[1]Mit-1'!G15</f>
        <v>0</v>
      </c>
      <c r="H15" s="397">
        <f>'[1]Mit-1'!H15</f>
        <v>0</v>
      </c>
      <c r="I15" s="398">
        <f>'[1]Mit-1'!I15</f>
        <v>0</v>
      </c>
      <c r="J15" s="398">
        <f>'[1]Mit-1'!J15</f>
        <v>0</v>
      </c>
      <c r="K15" s="398">
        <f>'[1]Mit-1'!K15</f>
        <v>0</v>
      </c>
      <c r="L15" s="399">
        <f>'[1]Mit-1'!L15</f>
        <v>0</v>
      </c>
      <c r="M15" s="399">
        <f>'[1]Mit-1'!M15</f>
        <v>0</v>
      </c>
      <c r="N15" s="399">
        <f>'[1]Mit-1'!N15</f>
        <v>0</v>
      </c>
      <c r="O15" s="398">
        <f>'[1]Mit-1'!O15</f>
        <v>0</v>
      </c>
      <c r="P15" s="400">
        <f>'[1]Mit-1'!P15</f>
        <v>0</v>
      </c>
      <c r="Q15" s="401">
        <f>'[1]Mit-1'!Q15</f>
        <v>0</v>
      </c>
      <c r="R15" s="401">
        <f>'[1]Mit-1'!R15</f>
        <v>0</v>
      </c>
      <c r="S15" s="401">
        <f>'[1]Mit-1'!S15</f>
        <v>0</v>
      </c>
      <c r="T15" s="400">
        <f>'[1]Mit-1'!U15</f>
        <v>0</v>
      </c>
      <c r="U15" s="400">
        <f>'[1]Mit-1'!V15</f>
        <v>0</v>
      </c>
      <c r="V15" s="400">
        <f>'[1]Mit-1'!W15</f>
        <v>0</v>
      </c>
      <c r="W15" s="400">
        <f>'[1]Mit-1'!X15</f>
        <v>0</v>
      </c>
      <c r="X15" s="400">
        <f>'[1]Mit-1'!Y15</f>
        <v>0</v>
      </c>
      <c r="Y15" s="400">
        <f>'[1]Mit-1'!Z15</f>
        <v>0</v>
      </c>
      <c r="Z15" s="400">
        <f>'[1]Mit-1'!AA15</f>
        <v>0</v>
      </c>
      <c r="AA15" s="400">
        <f>'[1]Mit-1'!AB15</f>
        <v>0</v>
      </c>
    </row>
    <row r="16" spans="1:27" s="281" customFormat="1" ht="13.15" customHeight="1" x14ac:dyDescent="0.15">
      <c r="A16" s="395">
        <f>'[1]Mit-1'!A16</f>
        <v>12</v>
      </c>
      <c r="B16" s="396">
        <f>'[1]Mit-1'!B16</f>
        <v>0</v>
      </c>
      <c r="C16" s="396">
        <f>'[1]Mit-1'!C16</f>
        <v>0</v>
      </c>
      <c r="D16" s="397">
        <f>'[1]Mit-1'!D16</f>
        <v>0</v>
      </c>
      <c r="E16" s="396">
        <f>'[1]Mit-1'!E16</f>
        <v>0</v>
      </c>
      <c r="F16" s="393">
        <f>'[1]Mit-1'!F16</f>
        <v>0</v>
      </c>
      <c r="G16" s="397">
        <f>'[1]Mit-1'!G16</f>
        <v>0</v>
      </c>
      <c r="H16" s="397">
        <f>'[1]Mit-1'!H16</f>
        <v>0</v>
      </c>
      <c r="I16" s="398">
        <f>'[1]Mit-1'!I16</f>
        <v>0</v>
      </c>
      <c r="J16" s="398">
        <f>'[1]Mit-1'!J16</f>
        <v>0</v>
      </c>
      <c r="K16" s="398">
        <f>'[1]Mit-1'!K16</f>
        <v>0</v>
      </c>
      <c r="L16" s="399">
        <f>'[1]Mit-1'!L16</f>
        <v>0</v>
      </c>
      <c r="M16" s="399">
        <f>'[1]Mit-1'!M16</f>
        <v>0</v>
      </c>
      <c r="N16" s="399">
        <f>'[1]Mit-1'!N16</f>
        <v>0</v>
      </c>
      <c r="O16" s="398">
        <f>'[1]Mit-1'!O16</f>
        <v>0</v>
      </c>
      <c r="P16" s="400">
        <f>'[1]Mit-1'!P16</f>
        <v>0</v>
      </c>
      <c r="Q16" s="401">
        <f>'[1]Mit-1'!Q16</f>
        <v>0</v>
      </c>
      <c r="R16" s="401">
        <f>'[1]Mit-1'!R16</f>
        <v>0</v>
      </c>
      <c r="S16" s="401">
        <f>'[1]Mit-1'!S16</f>
        <v>0</v>
      </c>
      <c r="T16" s="400">
        <f>'[1]Mit-1'!U16</f>
        <v>0</v>
      </c>
      <c r="U16" s="400">
        <f>'[1]Mit-1'!V16</f>
        <v>0</v>
      </c>
      <c r="V16" s="400">
        <f>'[1]Mit-1'!W16</f>
        <v>0</v>
      </c>
      <c r="W16" s="400">
        <f>'[1]Mit-1'!X16</f>
        <v>0</v>
      </c>
      <c r="X16" s="400">
        <f>'[1]Mit-1'!Y16</f>
        <v>0</v>
      </c>
      <c r="Y16" s="400">
        <f>'[1]Mit-1'!Z16</f>
        <v>0</v>
      </c>
      <c r="Z16" s="400">
        <f>'[1]Mit-1'!AA16</f>
        <v>0</v>
      </c>
      <c r="AA16" s="400">
        <f>'[1]Mit-1'!AB16</f>
        <v>0</v>
      </c>
    </row>
    <row r="17" spans="1:27" s="281" customFormat="1" ht="13.15" customHeight="1" x14ac:dyDescent="0.15">
      <c r="A17" s="395">
        <f>'[1]Mit-1'!A17</f>
        <v>13</v>
      </c>
      <c r="B17" s="396">
        <f>'[1]Mit-1'!B17</f>
        <v>0</v>
      </c>
      <c r="C17" s="396">
        <f>'[1]Mit-1'!C17</f>
        <v>0</v>
      </c>
      <c r="D17" s="397">
        <f>'[1]Mit-1'!D17</f>
        <v>0</v>
      </c>
      <c r="E17" s="396">
        <f>'[1]Mit-1'!E17</f>
        <v>0</v>
      </c>
      <c r="F17" s="393">
        <f>'[1]Mit-1'!F17</f>
        <v>0</v>
      </c>
      <c r="G17" s="397">
        <f>'[1]Mit-1'!G17</f>
        <v>0</v>
      </c>
      <c r="H17" s="397">
        <f>'[1]Mit-1'!H17</f>
        <v>0</v>
      </c>
      <c r="I17" s="398">
        <f>'[1]Mit-1'!I17</f>
        <v>0</v>
      </c>
      <c r="J17" s="398">
        <f>'[1]Mit-1'!J17</f>
        <v>0</v>
      </c>
      <c r="K17" s="398">
        <f>'[1]Mit-1'!K17</f>
        <v>0</v>
      </c>
      <c r="L17" s="399">
        <f>'[1]Mit-1'!L17</f>
        <v>0</v>
      </c>
      <c r="M17" s="399">
        <f>'[1]Mit-1'!M17</f>
        <v>0</v>
      </c>
      <c r="N17" s="399">
        <f>'[1]Mit-1'!N17</f>
        <v>0</v>
      </c>
      <c r="O17" s="398">
        <f>'[1]Mit-1'!O17</f>
        <v>0</v>
      </c>
      <c r="P17" s="400">
        <f>'[1]Mit-1'!P17</f>
        <v>0</v>
      </c>
      <c r="Q17" s="401">
        <f>'[1]Mit-1'!Q17</f>
        <v>0</v>
      </c>
      <c r="R17" s="401">
        <f>'[1]Mit-1'!R17</f>
        <v>0</v>
      </c>
      <c r="S17" s="401">
        <f>'[1]Mit-1'!S17</f>
        <v>0</v>
      </c>
      <c r="T17" s="400">
        <f>'[1]Mit-1'!U17</f>
        <v>0</v>
      </c>
      <c r="U17" s="400">
        <f>'[1]Mit-1'!V17</f>
        <v>0</v>
      </c>
      <c r="V17" s="400">
        <f>'[1]Mit-1'!W17</f>
        <v>0</v>
      </c>
      <c r="W17" s="400">
        <f>'[1]Mit-1'!X17</f>
        <v>0</v>
      </c>
      <c r="X17" s="400">
        <f>'[1]Mit-1'!Y17</f>
        <v>0</v>
      </c>
      <c r="Y17" s="400">
        <f>'[1]Mit-1'!Z17</f>
        <v>0</v>
      </c>
      <c r="Z17" s="400">
        <f>'[1]Mit-1'!AA17</f>
        <v>0</v>
      </c>
      <c r="AA17" s="400">
        <f>'[1]Mit-1'!AB17</f>
        <v>0</v>
      </c>
    </row>
    <row r="18" spans="1:27" s="281" customFormat="1" ht="13.15" customHeight="1" x14ac:dyDescent="0.15">
      <c r="A18" s="395">
        <f>'[1]Mit-1'!A18</f>
        <v>14</v>
      </c>
      <c r="B18" s="396">
        <f>'[1]Mit-1'!B18</f>
        <v>0</v>
      </c>
      <c r="C18" s="396">
        <f>'[1]Mit-1'!C18</f>
        <v>0</v>
      </c>
      <c r="D18" s="397">
        <f>'[1]Mit-1'!D18</f>
        <v>0</v>
      </c>
      <c r="E18" s="396">
        <f>'[1]Mit-1'!E18</f>
        <v>0</v>
      </c>
      <c r="F18" s="393">
        <f>'[1]Mit-1'!F18</f>
        <v>0</v>
      </c>
      <c r="G18" s="397">
        <f>'[1]Mit-1'!G18</f>
        <v>0</v>
      </c>
      <c r="H18" s="397">
        <f>'[1]Mit-1'!H18</f>
        <v>0</v>
      </c>
      <c r="I18" s="398">
        <f>'[1]Mit-1'!I18</f>
        <v>0</v>
      </c>
      <c r="J18" s="398">
        <f>'[1]Mit-1'!J18</f>
        <v>0</v>
      </c>
      <c r="K18" s="398">
        <f>'[1]Mit-1'!K18</f>
        <v>0</v>
      </c>
      <c r="L18" s="399">
        <f>'[1]Mit-1'!L18</f>
        <v>0</v>
      </c>
      <c r="M18" s="399">
        <f>'[1]Mit-1'!M18</f>
        <v>0</v>
      </c>
      <c r="N18" s="399">
        <f>'[1]Mit-1'!N18</f>
        <v>0</v>
      </c>
      <c r="O18" s="398">
        <f>'[1]Mit-1'!O18</f>
        <v>0</v>
      </c>
      <c r="P18" s="400">
        <f>'[1]Mit-1'!P18</f>
        <v>0</v>
      </c>
      <c r="Q18" s="401">
        <f>'[1]Mit-1'!Q18</f>
        <v>0</v>
      </c>
      <c r="R18" s="401">
        <f>'[1]Mit-1'!R18</f>
        <v>0</v>
      </c>
      <c r="S18" s="401">
        <f>'[1]Mit-1'!S18</f>
        <v>0</v>
      </c>
      <c r="T18" s="400">
        <f>'[1]Mit-1'!U18</f>
        <v>0</v>
      </c>
      <c r="U18" s="400">
        <f>'[1]Mit-1'!V18</f>
        <v>0</v>
      </c>
      <c r="V18" s="400">
        <f>'[1]Mit-1'!W18</f>
        <v>0</v>
      </c>
      <c r="W18" s="400">
        <f>'[1]Mit-1'!X18</f>
        <v>0</v>
      </c>
      <c r="X18" s="400">
        <f>'[1]Mit-1'!Y18</f>
        <v>0</v>
      </c>
      <c r="Y18" s="400">
        <f>'[1]Mit-1'!Z18</f>
        <v>0</v>
      </c>
      <c r="Z18" s="400">
        <f>'[1]Mit-1'!AA18</f>
        <v>0</v>
      </c>
      <c r="AA18" s="400">
        <f>'[1]Mit-1'!AB18</f>
        <v>0</v>
      </c>
    </row>
    <row r="19" spans="1:27" s="281" customFormat="1" ht="13.15" customHeight="1" x14ac:dyDescent="0.15">
      <c r="A19" s="395">
        <f>'[1]Mit-1'!A19</f>
        <v>15</v>
      </c>
      <c r="B19" s="396">
        <f>'[1]Mit-1'!B19</f>
        <v>0</v>
      </c>
      <c r="C19" s="396">
        <f>'[1]Mit-1'!C19</f>
        <v>0</v>
      </c>
      <c r="D19" s="397">
        <f>'[1]Mit-1'!D19</f>
        <v>0</v>
      </c>
      <c r="E19" s="396">
        <f>'[1]Mit-1'!E19</f>
        <v>0</v>
      </c>
      <c r="F19" s="393">
        <f>'[1]Mit-1'!F19</f>
        <v>0</v>
      </c>
      <c r="G19" s="397">
        <f>'[1]Mit-1'!G19</f>
        <v>0</v>
      </c>
      <c r="H19" s="397">
        <f>'[1]Mit-1'!H19</f>
        <v>0</v>
      </c>
      <c r="I19" s="397">
        <f>'[1]Mit-1'!I19</f>
        <v>0</v>
      </c>
      <c r="J19" s="397">
        <f>'[1]Mit-1'!J19</f>
        <v>0</v>
      </c>
      <c r="K19" s="397">
        <f>'[1]Mit-1'!K19</f>
        <v>0</v>
      </c>
      <c r="L19" s="397">
        <f>'[1]Mit-1'!L19</f>
        <v>0</v>
      </c>
      <c r="M19" s="399">
        <f>'[1]Mit-1'!M19</f>
        <v>0</v>
      </c>
      <c r="N19" s="399">
        <f>'[1]Mit-1'!N19</f>
        <v>0</v>
      </c>
      <c r="O19" s="397">
        <f>'[1]Mit-1'!O19</f>
        <v>0</v>
      </c>
      <c r="P19" s="400">
        <f>'[1]Mit-1'!P19</f>
        <v>0</v>
      </c>
      <c r="Q19" s="401">
        <f>'[1]Mit-1'!Q19</f>
        <v>0</v>
      </c>
      <c r="R19" s="401">
        <f>'[1]Mit-1'!R19</f>
        <v>0</v>
      </c>
      <c r="S19" s="401">
        <f>'[1]Mit-1'!S19</f>
        <v>0</v>
      </c>
      <c r="T19" s="402">
        <f>'[1]Mit-1'!U19</f>
        <v>0</v>
      </c>
      <c r="U19" s="400">
        <f>'[1]Mit-1'!V19</f>
        <v>0</v>
      </c>
      <c r="V19" s="400">
        <f>'[1]Mit-1'!W19</f>
        <v>0</v>
      </c>
      <c r="W19" s="400">
        <f>'[1]Mit-1'!X19</f>
        <v>0</v>
      </c>
      <c r="X19" s="400">
        <f>'[1]Mit-1'!Y19</f>
        <v>0</v>
      </c>
      <c r="Y19" s="400">
        <f>'[1]Mit-1'!Z19</f>
        <v>0</v>
      </c>
      <c r="Z19" s="400">
        <f>'[1]Mit-1'!AA19</f>
        <v>0</v>
      </c>
      <c r="AA19" s="400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style="63" customWidth="1"/>
    <col min="2" max="2" width="11.7109375" style="63" customWidth="1"/>
    <col min="3" max="3" width="10.85546875" style="63" customWidth="1"/>
    <col min="4" max="4" width="11.28515625" style="63" customWidth="1"/>
    <col min="5" max="5" width="5.42578125" style="63" customWidth="1"/>
    <col min="6" max="6" width="6" style="63" customWidth="1"/>
    <col min="7" max="7" width="11.140625" style="63" customWidth="1"/>
    <col min="8" max="8" width="9.85546875" style="63" customWidth="1"/>
    <col min="9" max="9" width="9.140625" style="63" customWidth="1"/>
    <col min="10" max="10" width="2.5703125" style="413" customWidth="1"/>
    <col min="11" max="15" width="2.140625" style="63" customWidth="1"/>
    <col min="16" max="16" width="2.28515625" style="63" customWidth="1"/>
    <col min="17" max="17" width="11.28515625" style="63" customWidth="1"/>
    <col min="18" max="18" width="10.7109375" style="63" customWidth="1"/>
    <col min="19" max="19" width="9" style="63" bestFit="1" customWidth="1"/>
    <col min="20" max="20" width="11.28515625" style="63" bestFit="1" customWidth="1"/>
    <col min="21" max="21" width="8.5703125" style="63" bestFit="1" customWidth="1"/>
    <col min="22" max="22" width="9.5703125" style="63" customWidth="1"/>
    <col min="23" max="24" width="10.7109375" style="63" customWidth="1"/>
    <col min="25" max="16384" width="11.5703125" style="63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[1]Firma!$A$11</f>
        <v>44958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84" customFormat="1" ht="12.75" customHeight="1" x14ac:dyDescent="0.2">
      <c r="A2" s="179" t="s">
        <v>107</v>
      </c>
      <c r="B2" s="180"/>
      <c r="C2" s="180"/>
      <c r="D2" s="181"/>
      <c r="E2" s="270" t="s">
        <v>132</v>
      </c>
      <c r="F2" s="288"/>
      <c r="G2" s="180"/>
      <c r="H2" s="180"/>
      <c r="I2" s="182"/>
      <c r="J2" s="405"/>
      <c r="K2" s="287"/>
      <c r="L2" s="287"/>
      <c r="M2" s="287"/>
      <c r="N2" s="286"/>
      <c r="O2" s="406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125" t="str">
        <f>VLOOKUP(P3,'[1]Mit-1'!$A$5:$B$19,2,FALSE)</f>
        <v>Mustermann Max</v>
      </c>
      <c r="H3" s="109"/>
      <c r="I3" s="126"/>
      <c r="J3" s="407"/>
      <c r="K3" s="109"/>
      <c r="L3" s="109"/>
      <c r="M3" s="109"/>
      <c r="N3" s="109"/>
      <c r="O3" s="196"/>
      <c r="P3" s="127">
        <v>1</v>
      </c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64"/>
      <c r="V4" s="64"/>
      <c r="W4" s="64"/>
      <c r="X4" s="64"/>
      <c r="Y4" s="64"/>
      <c r="Z4" s="64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64"/>
      <c r="Q5" s="681" t="s">
        <v>136</v>
      </c>
      <c r="R5" s="682"/>
      <c r="S5" s="683"/>
      <c r="T5" s="64"/>
      <c r="U5" s="64"/>
      <c r="V5" s="64"/>
      <c r="W5" s="64"/>
      <c r="X5" s="64"/>
      <c r="Y5" s="64"/>
      <c r="Z5" s="64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64"/>
      <c r="Q6" s="684"/>
      <c r="R6" s="685"/>
      <c r="S6" s="686"/>
      <c r="T6" s="64"/>
      <c r="U6" s="64"/>
      <c r="V6" s="64"/>
      <c r="W6" s="64"/>
      <c r="X6" s="64"/>
      <c r="Y6" s="64"/>
      <c r="Z6" s="64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64"/>
      <c r="Q7" s="687" t="s">
        <v>134</v>
      </c>
      <c r="R7" s="688"/>
      <c r="S7" s="689"/>
      <c r="T7" s="64"/>
      <c r="U7" s="64"/>
      <c r="V7" s="64"/>
      <c r="W7" s="64"/>
      <c r="X7" s="64"/>
      <c r="Y7" s="64"/>
      <c r="Z7" s="64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VLOOKUP($P$3,'[1]Mit-2'!$A$5:$P$19,4,FALSE)</f>
        <v>2</v>
      </c>
      <c r="H8" s="133" t="s">
        <v>231</v>
      </c>
      <c r="I8" s="221">
        <f>VLOOKUP($P$3,'[1]Mit-2'!$A$46:$AD$60,18,FALSE)</f>
        <v>2</v>
      </c>
      <c r="J8" s="610" t="s">
        <v>226</v>
      </c>
      <c r="K8" s="611"/>
      <c r="L8" s="611"/>
      <c r="M8" s="611"/>
      <c r="N8" s="611"/>
      <c r="O8" s="612"/>
      <c r="P8" s="64"/>
      <c r="Q8" s="687"/>
      <c r="R8" s="688"/>
      <c r="S8" s="689"/>
      <c r="T8" s="64"/>
      <c r="U8" s="64"/>
      <c r="V8" s="64"/>
      <c r="W8" s="64"/>
      <c r="X8" s="64"/>
      <c r="Y8" s="64"/>
      <c r="Z8" s="64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VLOOKUP($P$3,'[1]Mit-2'!$A$5:$AD$19,18,FALSE)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64"/>
      <c r="Q9" s="284"/>
      <c r="R9" s="560"/>
      <c r="S9" s="67"/>
      <c r="T9" s="390">
        <f>[1]Firma!$B$11</f>
        <v>28</v>
      </c>
      <c r="U9" s="64"/>
      <c r="V9" s="64"/>
      <c r="W9" s="64"/>
      <c r="X9" s="64"/>
      <c r="Y9" s="64"/>
      <c r="Z9" s="64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68"/>
      <c r="H10" s="268"/>
      <c r="I10" s="272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64"/>
      <c r="Q10" s="673" t="s">
        <v>207</v>
      </c>
      <c r="R10" s="674"/>
      <c r="S10" s="675"/>
      <c r="T10" s="64"/>
      <c r="U10" s="64"/>
      <c r="V10" s="64"/>
      <c r="W10" s="64"/>
      <c r="X10" s="64"/>
      <c r="Y10" s="64"/>
      <c r="Z10" s="64"/>
    </row>
    <row r="11" spans="1:26" s="136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5"/>
      <c r="Q11" s="676"/>
      <c r="R11" s="677"/>
      <c r="S11" s="678"/>
      <c r="T11" s="135"/>
      <c r="U11" s="135"/>
      <c r="V11" s="135"/>
      <c r="W11" s="135"/>
      <c r="X11" s="135"/>
      <c r="Y11" s="135"/>
      <c r="Z11" s="135"/>
    </row>
    <row r="12" spans="1:26" x14ac:dyDescent="0.2">
      <c r="A12" s="250">
        <f>VLOOKUP($G$8,'[1]Lohntab-Tab-retr.'!$A$7:$O$15,3,1)</f>
        <v>1477.83</v>
      </c>
      <c r="B12" s="251">
        <f>VLOOKUP($G$8,'[1]Lohntab-Tab-retr.'!$A$21:$O$29,3,FALSE)</f>
        <v>532.54</v>
      </c>
      <c r="C12" s="251">
        <f>I8*VLOOKUP($G$8,'[1]Lohntab-Tab-retr.'!$A$63:$O$71,3,FALSE)</f>
        <v>45.66</v>
      </c>
      <c r="D12" s="251">
        <f>VLOOKUP($G$8,'[1]Lohntab-Tab-retr.'!$A$35:$O$43,3,FALSE)</f>
        <v>0</v>
      </c>
      <c r="E12" s="695">
        <f>VLOOKUP($G$8,'[1]Lohntab-Tab-retr.'!$A$49:$O$57,3,FALSE)</f>
        <v>8</v>
      </c>
      <c r="F12" s="695"/>
      <c r="G12" s="251">
        <f>VLOOKUP($P$3,'[1]Mit-2'!$A$24:$P$38,4,FALSE)</f>
        <v>300</v>
      </c>
      <c r="H12" s="251">
        <f>VLOOKUP($G$8,'[1]Lohntab-Tab-retr.'!$A$77:$O$85,3,FALSE)</f>
        <v>0</v>
      </c>
      <c r="I12" s="252"/>
      <c r="J12" s="617"/>
      <c r="K12" s="620"/>
      <c r="L12" s="623"/>
      <c r="M12" s="623"/>
      <c r="N12" s="623"/>
      <c r="O12" s="693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136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spans="1:26" x14ac:dyDescent="0.2">
      <c r="A14" s="257">
        <f>[1]Tab!G140</f>
        <v>168</v>
      </c>
      <c r="B14" s="338">
        <f>[1]Tab!G141</f>
        <v>26</v>
      </c>
      <c r="C14" s="258">
        <f>ROUND(I14/A14,5)</f>
        <v>14.07161</v>
      </c>
      <c r="D14" s="258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59">
        <f>SUM(A12:I12)</f>
        <v>2364.0299999999997</v>
      </c>
      <c r="J14" s="617"/>
      <c r="K14" s="620"/>
      <c r="L14" s="623"/>
      <c r="M14" s="623"/>
      <c r="N14" s="623"/>
      <c r="O14" s="693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spans="1:26" s="136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x14ac:dyDescent="0.2">
      <c r="A16" s="572">
        <f>'01'!A16+(VLOOKUP($P$3,'[1]Mit-2'!$A$90:$P$104,4,FALSE))*G9%</f>
        <v>14.43</v>
      </c>
      <c r="B16" s="569">
        <f>M50</f>
        <v>0</v>
      </c>
      <c r="C16" s="569">
        <f>A16-B16</f>
        <v>14.43</v>
      </c>
      <c r="D16" s="569">
        <f>'01'!D16+(VLOOKUP($P$3,'[1]Mit-2'!$A$90:$AD$104,18,FALSE))*G9%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</row>
    <row r="17" spans="1:26" ht="3.75" customHeight="1" x14ac:dyDescent="0.2">
      <c r="A17" s="245"/>
      <c r="B17" s="69"/>
      <c r="C17" s="69"/>
      <c r="D17" s="69"/>
      <c r="E17" s="69"/>
      <c r="F17" s="69"/>
      <c r="G17" s="69"/>
      <c r="H17" s="69"/>
      <c r="I17" s="70"/>
      <c r="J17" s="617"/>
      <c r="K17" s="620"/>
      <c r="L17" s="623"/>
      <c r="M17" s="623"/>
      <c r="N17" s="623"/>
      <c r="O17" s="693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74"/>
      <c r="V19" s="64"/>
      <c r="W19" s="64"/>
      <c r="X19" s="64"/>
      <c r="Y19" s="73"/>
      <c r="Z19" s="74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74"/>
      <c r="V20" s="75"/>
      <c r="W20" s="74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74"/>
      <c r="V21" s="75"/>
      <c r="W21" s="74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74"/>
      <c r="V22" s="75"/>
      <c r="W22" s="74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74"/>
      <c r="V23" s="75"/>
      <c r="W23" s="74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74"/>
      <c r="V24" s="75"/>
      <c r="W24" s="74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74"/>
      <c r="Q25"/>
      <c r="R25"/>
      <c r="S25"/>
      <c r="T25"/>
      <c r="U25"/>
      <c r="V25"/>
      <c r="W25" s="74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74"/>
      <c r="Q26"/>
      <c r="R26"/>
      <c r="S26"/>
      <c r="T26"/>
      <c r="U26"/>
      <c r="V26"/>
      <c r="W26" s="74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74"/>
      <c r="Q27"/>
      <c r="R27"/>
      <c r="S27"/>
      <c r="T27"/>
      <c r="U27"/>
      <c r="V27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74"/>
      <c r="Q28"/>
      <c r="R28"/>
      <c r="S28"/>
      <c r="T28"/>
      <c r="U28"/>
      <c r="V28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78"/>
      <c r="Q29"/>
      <c r="R29"/>
      <c r="S29"/>
      <c r="T29"/>
      <c r="U29"/>
      <c r="V29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64"/>
      <c r="Q30"/>
      <c r="R30"/>
      <c r="S30"/>
      <c r="T30"/>
      <c r="U30"/>
      <c r="V30"/>
      <c r="Z30" s="64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64"/>
      <c r="Q31"/>
      <c r="R31"/>
      <c r="S31"/>
      <c r="T31"/>
      <c r="U31"/>
      <c r="V31"/>
      <c r="Z31" s="64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64"/>
      <c r="Q32"/>
      <c r="R32"/>
      <c r="S32"/>
      <c r="T32"/>
      <c r="U32"/>
      <c r="V32"/>
      <c r="Z32" s="64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64"/>
      <c r="Q33"/>
      <c r="R33"/>
      <c r="S33"/>
      <c r="T33"/>
      <c r="U33"/>
      <c r="V33"/>
      <c r="Z33" s="64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64"/>
      <c r="Q34"/>
      <c r="R34"/>
      <c r="S34"/>
      <c r="T34"/>
      <c r="U34"/>
      <c r="V34"/>
      <c r="Z34" s="64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74"/>
      <c r="Q35"/>
      <c r="R35"/>
      <c r="S35"/>
      <c r="T35"/>
      <c r="U35"/>
      <c r="V35"/>
      <c r="Y35" s="74"/>
      <c r="Z35" s="74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74"/>
      <c r="Q36"/>
      <c r="R36"/>
      <c r="S36"/>
      <c r="T36"/>
      <c r="U36"/>
      <c r="V36"/>
      <c r="Y36" s="74"/>
      <c r="Z36" s="74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84"/>
      <c r="H37" s="58">
        <f>ROUND(IF(I29=0,0,VLOOKUP($P$3,'[1]Mit-1'!$A$5:$AD$19,12,FALSE)),2)</f>
        <v>0</v>
      </c>
      <c r="I37" s="570"/>
      <c r="J37" s="410">
        <v>19</v>
      </c>
      <c r="K37" s="542"/>
      <c r="L37" s="543"/>
      <c r="M37" s="543"/>
      <c r="N37" s="543"/>
      <c r="O37" s="544"/>
      <c r="P37" s="74"/>
      <c r="Q37"/>
      <c r="R37"/>
      <c r="S37"/>
      <c r="T37"/>
      <c r="U37"/>
      <c r="V37"/>
      <c r="Y37" s="74"/>
      <c r="Z37" s="74"/>
    </row>
    <row r="38" spans="1:26" ht="12" customHeight="1" x14ac:dyDescent="0.2">
      <c r="A38" s="153" t="s">
        <v>113</v>
      </c>
      <c r="B38" s="83"/>
      <c r="C38" s="83"/>
      <c r="D38" s="83"/>
      <c r="E38" s="83"/>
      <c r="F38" s="83"/>
      <c r="G38" s="84"/>
      <c r="H38" s="334">
        <f ca="1">IF(SUM(I29:I37)-H37&lt;0,0,SUM(I29:I36)-H37)</f>
        <v>0</v>
      </c>
      <c r="I38" s="227"/>
      <c r="J38" s="411">
        <v>20</v>
      </c>
      <c r="K38" s="542"/>
      <c r="L38" s="543"/>
      <c r="M38" s="543"/>
      <c r="N38" s="543"/>
      <c r="O38" s="544"/>
      <c r="P38" s="74"/>
      <c r="Q38"/>
      <c r="R38"/>
      <c r="S38"/>
      <c r="T38"/>
      <c r="U38"/>
      <c r="V38"/>
      <c r="Y38" s="74"/>
      <c r="Z38" s="74"/>
    </row>
    <row r="39" spans="1:26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6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2" t="s">
        <v>141</v>
      </c>
      <c r="B43" s="301"/>
      <c r="C43" s="83"/>
      <c r="D43" s="302"/>
      <c r="E43" s="711"/>
      <c r="F43" s="712"/>
      <c r="G43" s="303"/>
      <c r="H43" s="304" t="s">
        <v>33</v>
      </c>
      <c r="I43" s="222"/>
      <c r="J43" s="410">
        <v>25</v>
      </c>
      <c r="K43" s="542"/>
      <c r="L43" s="543"/>
      <c r="M43" s="543"/>
      <c r="N43" s="543"/>
      <c r="O43" s="544"/>
      <c r="P43" s="74"/>
      <c r="Q43" s="121" t="s">
        <v>0</v>
      </c>
      <c r="R43" s="122" t="s">
        <v>1</v>
      </c>
      <c r="S43" s="630"/>
      <c r="T43" s="634"/>
      <c r="U43" s="626"/>
      <c r="V43" s="88"/>
      <c r="W43" s="74"/>
      <c r="X43" s="74"/>
      <c r="Y43" s="74"/>
      <c r="Z43" s="74"/>
    </row>
    <row r="44" spans="1:26" ht="12" customHeight="1" x14ac:dyDescent="0.2">
      <c r="A44" s="148" t="s">
        <v>114</v>
      </c>
      <c r="B44" s="92"/>
      <c r="C44" s="87"/>
      <c r="D44" s="62"/>
      <c r="E44" s="646"/>
      <c r="F44" s="647"/>
      <c r="G44" s="93"/>
      <c r="H44" s="537"/>
      <c r="I44" s="229">
        <f>-H44</f>
        <v>0</v>
      </c>
      <c r="J44" s="411">
        <v>26</v>
      </c>
      <c r="K44" s="542"/>
      <c r="L44" s="543"/>
      <c r="M44" s="543"/>
      <c r="N44" s="543"/>
      <c r="O44" s="544"/>
      <c r="P44" s="74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88"/>
      <c r="W44" s="74"/>
      <c r="X44" s="74"/>
      <c r="Y44" s="74"/>
      <c r="Z44" s="74"/>
    </row>
    <row r="45" spans="1:26" s="64" customFormat="1" ht="12" customHeight="1" x14ac:dyDescent="0.2">
      <c r="A45" s="159" t="s">
        <v>115</v>
      </c>
      <c r="B45" s="94"/>
      <c r="C45" s="162" t="s">
        <v>220</v>
      </c>
      <c r="D45" s="95">
        <v>11</v>
      </c>
      <c r="E45" s="646"/>
      <c r="F45" s="647"/>
      <c r="G45" s="99"/>
      <c r="H45" s="211">
        <f>IF(I29=0,0,VLOOKUP($P$3,'[1]Mit-2'!$A$65:$P$79,4,FALSE))</f>
        <v>0</v>
      </c>
      <c r="I45" s="226">
        <f>IF($I$9="",ROUND(IF($I$29=0,0,-H45/D45),2),-Steuern!J45)</f>
        <v>0</v>
      </c>
      <c r="J45" s="410">
        <v>27</v>
      </c>
      <c r="K45" s="542"/>
      <c r="L45" s="543"/>
      <c r="M45" s="543"/>
      <c r="N45" s="543"/>
      <c r="O45" s="544"/>
      <c r="P45" s="74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88"/>
      <c r="W45" s="74"/>
      <c r="X45" s="74"/>
      <c r="Y45" s="74"/>
      <c r="Z45" s="74"/>
    </row>
    <row r="46" spans="1:26" ht="12" customHeight="1" x14ac:dyDescent="0.2">
      <c r="A46" s="145" t="s">
        <v>142</v>
      </c>
      <c r="B46" s="97"/>
      <c r="C46" s="98"/>
      <c r="D46" s="86"/>
      <c r="E46" s="717"/>
      <c r="F46" s="718"/>
      <c r="G46" s="164"/>
      <c r="H46" s="165" t="s">
        <v>33</v>
      </c>
      <c r="I46" s="222"/>
      <c r="J46" s="411">
        <v>28</v>
      </c>
      <c r="K46" s="542"/>
      <c r="L46" s="543"/>
      <c r="M46" s="543"/>
      <c r="N46" s="543"/>
      <c r="O46" s="544"/>
      <c r="P46" s="74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88"/>
      <c r="W46" s="74"/>
      <c r="X46" s="74"/>
      <c r="Y46" s="74"/>
      <c r="Z46" s="74"/>
    </row>
    <row r="47" spans="1:26" ht="12" customHeight="1" x14ac:dyDescent="0.2">
      <c r="A47" s="148" t="s">
        <v>114</v>
      </c>
      <c r="B47" s="92"/>
      <c r="C47" s="87"/>
      <c r="D47" s="62"/>
      <c r="E47" s="646"/>
      <c r="F47" s="647"/>
      <c r="G47" s="93"/>
      <c r="H47" s="537"/>
      <c r="I47" s="223">
        <f>-H47</f>
        <v>0</v>
      </c>
      <c r="J47" s="410">
        <v>29</v>
      </c>
      <c r="K47" s="542"/>
      <c r="L47" s="543"/>
      <c r="M47" s="543"/>
      <c r="N47" s="543"/>
      <c r="O47" s="544"/>
      <c r="P47" s="64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65"/>
      <c r="W47" s="64"/>
      <c r="X47" s="64"/>
      <c r="Y47" s="64"/>
      <c r="Z47" s="64"/>
    </row>
    <row r="48" spans="1:26" ht="12" customHeight="1" x14ac:dyDescent="0.2">
      <c r="A48" s="317" t="s">
        <v>115</v>
      </c>
      <c r="B48" s="318"/>
      <c r="C48" s="319" t="s">
        <v>48</v>
      </c>
      <c r="D48" s="320">
        <v>11</v>
      </c>
      <c r="E48" s="715"/>
      <c r="F48" s="716"/>
      <c r="G48" s="321"/>
      <c r="H48" s="450">
        <f>IF(I29=0,0,VLOOKUP($P$3,'[1]Mit-2'!$A$65:$AD$79,18,FALSE))</f>
        <v>0</v>
      </c>
      <c r="I48" s="226">
        <f>IF($I$9="",ROUND(IF($I$29=0,0,-H48/D48),2),-Steuern!N45)</f>
        <v>0</v>
      </c>
      <c r="J48" s="411">
        <v>30</v>
      </c>
      <c r="K48" s="542"/>
      <c r="L48" s="543"/>
      <c r="M48" s="543"/>
      <c r="N48" s="543"/>
      <c r="O48" s="544"/>
      <c r="P48" s="64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65"/>
      <c r="W48" s="64"/>
      <c r="X48" s="64"/>
      <c r="Y48" s="64"/>
      <c r="Z48" s="64"/>
    </row>
    <row r="49" spans="1:26" ht="12" customHeight="1" x14ac:dyDescent="0.2">
      <c r="A49" s="159" t="s">
        <v>147</v>
      </c>
      <c r="B49" s="329"/>
      <c r="C49" s="330"/>
      <c r="D49" s="331"/>
      <c r="E49" s="649"/>
      <c r="F49" s="650"/>
      <c r="G49" s="332"/>
      <c r="H49" s="333"/>
      <c r="I49" s="224"/>
      <c r="J49" s="416">
        <v>31</v>
      </c>
      <c r="K49" s="542"/>
      <c r="L49" s="543"/>
      <c r="M49" s="543"/>
      <c r="N49" s="543"/>
      <c r="O49" s="544"/>
      <c r="P49" s="64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65"/>
      <c r="W49" s="64"/>
      <c r="X49" s="64"/>
      <c r="Y49" s="64"/>
      <c r="Z49" s="64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27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74"/>
      <c r="Q50" s="297" t="s">
        <v>8</v>
      </c>
      <c r="R50" s="298"/>
      <c r="S50" s="117"/>
      <c r="T50" s="118"/>
      <c r="U50" s="119">
        <f ca="1">ROUND(SUM(U44:U47),2)</f>
        <v>0</v>
      </c>
      <c r="V50" s="88"/>
      <c r="W50" s="74"/>
      <c r="X50" s="74"/>
      <c r="Y50" s="74"/>
      <c r="Z50" s="74"/>
    </row>
    <row r="51" spans="1:26" ht="12" customHeight="1" x14ac:dyDescent="0.2">
      <c r="A51" s="148" t="s">
        <v>117</v>
      </c>
      <c r="B51" s="100"/>
      <c r="C51" s="80">
        <f>IF(I29=0,0,Steuern!J77)</f>
        <v>0</v>
      </c>
      <c r="D51" s="80">
        <f>IF(I29=0,0,Steuern!L77)</f>
        <v>0</v>
      </c>
      <c r="E51" s="646">
        <f>IF(I29=0,0,Steuern!N77)</f>
        <v>0</v>
      </c>
      <c r="F51" s="647"/>
      <c r="G51" s="80">
        <f>IF(I29=0,0,Steuern!P77)</f>
        <v>0</v>
      </c>
      <c r="H51" s="101">
        <f>IF(I29=0,0,Steuern!R77)</f>
        <v>0</v>
      </c>
      <c r="I51" s="227"/>
      <c r="J51" s="415"/>
      <c r="K51" s="636"/>
      <c r="L51" s="632"/>
      <c r="M51" s="632"/>
      <c r="N51" s="632"/>
      <c r="O51" s="638"/>
      <c r="P51" s="74"/>
      <c r="Q51" s="88"/>
      <c r="R51" s="88"/>
      <c r="S51" s="88"/>
      <c r="T51" s="88"/>
      <c r="U51" s="88"/>
      <c r="V51" s="88"/>
      <c r="W51" s="74"/>
      <c r="X51" s="74"/>
      <c r="Y51" s="74"/>
      <c r="Z51" s="74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74"/>
      <c r="Q52" s="88"/>
      <c r="R52" s="88"/>
      <c r="S52" s="88"/>
      <c r="T52" s="96"/>
      <c r="U52" s="88"/>
      <c r="V52" s="88"/>
      <c r="W52" s="74"/>
      <c r="X52" s="74"/>
      <c r="Y52" s="74"/>
      <c r="Z52" s="74"/>
    </row>
    <row r="53" spans="1:26" ht="12" customHeight="1" x14ac:dyDescent="0.2">
      <c r="A53" s="178" t="s">
        <v>119</v>
      </c>
      <c r="B53" s="105"/>
      <c r="C53" s="105"/>
      <c r="D53" s="105"/>
      <c r="E53" s="105"/>
      <c r="F53" s="105"/>
      <c r="G53" s="105"/>
      <c r="H53" s="105"/>
      <c r="I53" s="225">
        <f ca="1">SUM(I29:I52)</f>
        <v>0</v>
      </c>
      <c r="J53" s="412"/>
      <c r="K53" s="66"/>
      <c r="L53" s="66"/>
      <c r="M53" s="66"/>
      <c r="N53" s="66"/>
      <c r="O53" s="196"/>
      <c r="P53" s="106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68"/>
      <c r="W53" s="106"/>
      <c r="X53" s="106"/>
      <c r="Y53" s="106"/>
      <c r="Z53" s="106"/>
    </row>
    <row r="54" spans="1:26" ht="12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6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64"/>
      <c r="W54" s="64"/>
      <c r="X54" s="64"/>
    </row>
    <row r="55" spans="1:26" ht="15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64"/>
      <c r="W55" s="64"/>
      <c r="X55" s="64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ROUND(C54*'[1]Mit-2'!$D$84%,2)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106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106"/>
      <c r="W57" s="106"/>
      <c r="X57" s="106"/>
      <c r="Y57" s="106"/>
      <c r="Z57" s="106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106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106"/>
      <c r="W58" s="106"/>
      <c r="X58" s="106"/>
      <c r="Y58" s="106"/>
      <c r="Z58" s="106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713">
        <f>-'01'!H59</f>
        <v>0</v>
      </c>
      <c r="F59" s="714"/>
      <c r="G59" s="174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106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106"/>
      <c r="W59" s="106"/>
      <c r="X59" s="106"/>
      <c r="Y59" s="106"/>
      <c r="Z59" s="106"/>
    </row>
    <row r="60" spans="1:26" ht="12" customHeight="1" x14ac:dyDescent="0.2">
      <c r="A60" s="429" t="s">
        <v>43</v>
      </c>
      <c r="B60" s="430"/>
      <c r="C60" s="430"/>
      <c r="D60" s="430"/>
      <c r="E60" s="430"/>
      <c r="F60" s="430"/>
      <c r="G60" s="430"/>
      <c r="H60" s="430"/>
      <c r="I60" s="528">
        <f>IF(I29=0,0,ROUNDUP(Q61,0))</f>
        <v>0</v>
      </c>
      <c r="J60" s="533"/>
      <c r="K60" s="534"/>
      <c r="L60" s="534"/>
      <c r="M60" s="534"/>
      <c r="N60" s="701"/>
      <c r="O60" s="702"/>
      <c r="P60" s="74"/>
      <c r="Q60" s="297" t="s">
        <v>8</v>
      </c>
      <c r="R60" s="298"/>
      <c r="S60" s="117"/>
      <c r="T60" s="118"/>
      <c r="U60" s="120">
        <f>ROUND(SUM(U55:U59),2)</f>
        <v>0</v>
      </c>
      <c r="V60" s="74"/>
      <c r="W60" s="74"/>
      <c r="X60" s="74"/>
      <c r="Y60" s="74"/>
      <c r="Z60" s="74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64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Q64" s="205"/>
    </row>
    <row r="65" spans="1:6" x14ac:dyDescent="0.2">
      <c r="A65" s="108" t="str">
        <f>'[1]Beschr-Descr.'!A2</f>
        <v>Descrizione elementi di retribuzione</v>
      </c>
      <c r="F65" s="108" t="s">
        <v>3</v>
      </c>
    </row>
    <row r="66" spans="1:6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</row>
    <row r="67" spans="1:6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</row>
    <row r="68" spans="1:6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</row>
    <row r="69" spans="1:6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</row>
    <row r="70" spans="1:6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</row>
    <row r="71" spans="1:6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</row>
    <row r="72" spans="1:6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</row>
    <row r="73" spans="1:6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</row>
    <row r="74" spans="1:6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</row>
    <row r="75" spans="1:6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</row>
    <row r="76" spans="1:6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</row>
    <row r="77" spans="1:6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</row>
    <row r="78" spans="1:6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</row>
    <row r="79" spans="1:6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</row>
    <row r="80" spans="1:6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</row>
    <row r="81" spans="1:5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</row>
    <row r="82" spans="1:5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</row>
    <row r="83" spans="1:5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</row>
    <row r="84" spans="1:5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</row>
    <row r="85" spans="1:5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</row>
    <row r="86" spans="1:5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</row>
    <row r="87" spans="1:5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</row>
    <row r="88" spans="1:5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</row>
    <row r="89" spans="1:5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</row>
    <row r="90" spans="1:5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</row>
    <row r="91" spans="1:5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</row>
    <row r="92" spans="1:5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</row>
    <row r="93" spans="1:5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</row>
    <row r="94" spans="1:5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</row>
    <row r="95" spans="1:5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</row>
    <row r="96" spans="1:5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</row>
    <row r="97" spans="1:5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</row>
    <row r="98" spans="1:5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</row>
    <row r="99" spans="1:5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</row>
    <row r="100" spans="1:5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</row>
    <row r="101" spans="1:5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</row>
    <row r="102" spans="1:5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</row>
    <row r="103" spans="1:5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</row>
    <row r="104" spans="1:5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</row>
    <row r="105" spans="1:5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</row>
    <row r="106" spans="1:5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</row>
    <row r="107" spans="1:5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</row>
    <row r="108" spans="1:5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</row>
    <row r="109" spans="1:5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</row>
    <row r="110" spans="1:5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</row>
    <row r="111" spans="1:5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</row>
    <row r="112" spans="1:5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</row>
    <row r="113" spans="1:5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</row>
    <row r="114" spans="1:5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</row>
    <row r="115" spans="1:5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</row>
    <row r="116" spans="1:5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</row>
    <row r="117" spans="1:5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</row>
    <row r="118" spans="1:5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</row>
    <row r="119" spans="1:5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</row>
    <row r="120" spans="1:5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</row>
    <row r="121" spans="1:5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</row>
    <row r="122" spans="1:5" x14ac:dyDescent="0.2">
      <c r="A122" s="63">
        <f>'[1]Beschr-Descr.'!A63</f>
        <v>0</v>
      </c>
    </row>
    <row r="123" spans="1:5" x14ac:dyDescent="0.2">
      <c r="A123" s="63">
        <f>'[1]Beschr-Descr.'!A64</f>
        <v>0</v>
      </c>
    </row>
    <row r="124" spans="1:5" x14ac:dyDescent="0.2">
      <c r="A124" s="63">
        <f>'[1]Beschr-Descr.'!A65</f>
        <v>0</v>
      </c>
    </row>
    <row r="125" spans="1:5" x14ac:dyDescent="0.2">
      <c r="A125" s="63">
        <f>'[1]Beschr-Descr.'!A66</f>
        <v>0</v>
      </c>
    </row>
    <row r="126" spans="1:5" x14ac:dyDescent="0.2">
      <c r="A126" s="63">
        <f>'[1]Beschr-Descr.'!A67</f>
        <v>0</v>
      </c>
    </row>
    <row r="127" spans="1:5" x14ac:dyDescent="0.2">
      <c r="A127" s="63">
        <f>'[1]Beschr-Descr.'!A68</f>
        <v>0</v>
      </c>
    </row>
    <row r="128" spans="1:5" x14ac:dyDescent="0.2">
      <c r="A128" s="63">
        <f>'[1]Beschr-Descr.'!A69</f>
        <v>0</v>
      </c>
    </row>
    <row r="129" spans="1:1" x14ac:dyDescent="0.2">
      <c r="A129" s="63">
        <f>'[1]Beschr-Descr.'!A70</f>
        <v>0</v>
      </c>
    </row>
    <row r="130" spans="1:1" x14ac:dyDescent="0.2">
      <c r="A130" s="63">
        <f>'[1]Beschr-Descr.'!A71</f>
        <v>0</v>
      </c>
    </row>
    <row r="131" spans="1:1" x14ac:dyDescent="0.2">
      <c r="A131" s="63">
        <f>'[1]Beschr-Descr.'!A72</f>
        <v>0</v>
      </c>
    </row>
    <row r="132" spans="1:1" x14ac:dyDescent="0.2">
      <c r="A132" s="63">
        <f>'[1]Beschr-Descr.'!A73</f>
        <v>0</v>
      </c>
    </row>
    <row r="133" spans="1:1" x14ac:dyDescent="0.2">
      <c r="A133" s="63">
        <f>'[1]Beschr-Descr.'!A74</f>
        <v>0</v>
      </c>
    </row>
    <row r="134" spans="1:1" x14ac:dyDescent="0.2">
      <c r="A134" s="63">
        <f>'[1]Beschr-Descr.'!A75</f>
        <v>0</v>
      </c>
    </row>
    <row r="135" spans="1:1" x14ac:dyDescent="0.2">
      <c r="A135" s="63">
        <f>'[1]Beschr-Descr.'!A76</f>
        <v>0</v>
      </c>
    </row>
    <row r="136" spans="1:1" x14ac:dyDescent="0.2">
      <c r="A136" s="63">
        <f>'[1]Beschr-Descr.'!A77</f>
        <v>0</v>
      </c>
    </row>
    <row r="137" spans="1:1" x14ac:dyDescent="0.2">
      <c r="A137" s="63">
        <f>'[1]Beschr-Descr.'!A78</f>
        <v>0</v>
      </c>
    </row>
    <row r="138" spans="1:1" x14ac:dyDescent="0.2">
      <c r="A138" s="63">
        <f>'[1]Beschr-Descr.'!A79</f>
        <v>0</v>
      </c>
    </row>
    <row r="139" spans="1:1" x14ac:dyDescent="0.2">
      <c r="A139" s="63">
        <f>'[1]Beschr-Descr.'!A80</f>
        <v>0</v>
      </c>
    </row>
    <row r="140" spans="1:1" x14ac:dyDescent="0.2">
      <c r="A140" s="63">
        <f>'[1]Beschr-Descr.'!A81</f>
        <v>0</v>
      </c>
    </row>
    <row r="141" spans="1:1" x14ac:dyDescent="0.2">
      <c r="A141" s="63">
        <f>'[1]Beschr-Descr.'!A82</f>
        <v>0</v>
      </c>
    </row>
    <row r="142" spans="1:1" x14ac:dyDescent="0.2">
      <c r="A142" s="63">
        <f>'[1]Beschr-Descr.'!A83</f>
        <v>0</v>
      </c>
    </row>
    <row r="143" spans="1:1" x14ac:dyDescent="0.2">
      <c r="A143" s="63">
        <f>'[1]Beschr-Descr.'!A84</f>
        <v>0</v>
      </c>
    </row>
    <row r="144" spans="1:1" x14ac:dyDescent="0.2">
      <c r="A144" s="63">
        <f>'[1]Beschr-Descr.'!A85</f>
        <v>0</v>
      </c>
    </row>
    <row r="145" spans="1:1" x14ac:dyDescent="0.2">
      <c r="A145" s="63">
        <f>'[1]Beschr-Descr.'!A86</f>
        <v>0</v>
      </c>
    </row>
    <row r="146" spans="1:1" x14ac:dyDescent="0.2">
      <c r="A146" s="63">
        <f>'[1]Beschr-Descr.'!A87</f>
        <v>0</v>
      </c>
    </row>
    <row r="147" spans="1:1" x14ac:dyDescent="0.2">
      <c r="A147" s="63">
        <f>'[1]Beschr-Descr.'!A88</f>
        <v>0</v>
      </c>
    </row>
    <row r="148" spans="1:1" x14ac:dyDescent="0.2">
      <c r="A148" s="63">
        <f>'[1]Beschr-Descr.'!A89</f>
        <v>0</v>
      </c>
    </row>
    <row r="149" spans="1:1" x14ac:dyDescent="0.2">
      <c r="A149" s="63">
        <f>'[1]Beschr-Descr.'!A90</f>
        <v>0</v>
      </c>
    </row>
    <row r="150" spans="1:1" x14ac:dyDescent="0.2">
      <c r="A150" s="63">
        <f>'[1]Beschr-Descr.'!A91</f>
        <v>0</v>
      </c>
    </row>
    <row r="151" spans="1:1" x14ac:dyDescent="0.2">
      <c r="A151" s="63">
        <f>'[1]Beschr-Descr.'!A92</f>
        <v>0</v>
      </c>
    </row>
    <row r="152" spans="1:1" x14ac:dyDescent="0.2">
      <c r="A152" s="63">
        <f>'[1]Beschr-Descr.'!A93</f>
        <v>0</v>
      </c>
    </row>
    <row r="153" spans="1:1" x14ac:dyDescent="0.2">
      <c r="A153" s="63">
        <f>'[1]Beschr-Descr.'!A94</f>
        <v>0</v>
      </c>
    </row>
    <row r="154" spans="1:1" x14ac:dyDescent="0.2">
      <c r="A154" s="63">
        <f>'[1]Beschr-Descr.'!A95</f>
        <v>0</v>
      </c>
    </row>
    <row r="155" spans="1:1" x14ac:dyDescent="0.2">
      <c r="A155" s="63">
        <f>'[1]Beschr-Descr.'!A96</f>
        <v>0</v>
      </c>
    </row>
    <row r="156" spans="1:1" x14ac:dyDescent="0.2">
      <c r="A156" s="63">
        <f>'[1]Beschr-Descr.'!A97</f>
        <v>0</v>
      </c>
    </row>
    <row r="157" spans="1:1" x14ac:dyDescent="0.2">
      <c r="A157" s="63">
        <f>'[1]Beschr-Descr.'!A98</f>
        <v>0</v>
      </c>
    </row>
    <row r="158" spans="1:1" x14ac:dyDescent="0.2">
      <c r="A158" s="63">
        <f>'[1]Beschr-Descr.'!A99</f>
        <v>0</v>
      </c>
    </row>
    <row r="159" spans="1:1" x14ac:dyDescent="0.2">
      <c r="A159" s="63">
        <f>'[1]Beschr-Descr.'!A100</f>
        <v>0</v>
      </c>
    </row>
    <row r="160" spans="1:1" x14ac:dyDescent="0.2">
      <c r="A160" s="63">
        <f>'[1]Beschr-Descr.'!A101</f>
        <v>0</v>
      </c>
    </row>
    <row r="161" spans="1:1" x14ac:dyDescent="0.2">
      <c r="A161" s="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topLeftCell="A19" zoomScaleNormal="100" workbookViewId="0"/>
  </sheetViews>
  <sheetFormatPr baseColWidth="10" defaultColWidth="11.5703125" defaultRowHeight="12.75" x14ac:dyDescent="0.2"/>
  <cols>
    <col min="1" max="1" width="11.28515625" style="63" customWidth="1"/>
    <col min="2" max="2" width="11.7109375" style="63" customWidth="1"/>
    <col min="3" max="3" width="10.85546875" style="63" customWidth="1"/>
    <col min="4" max="4" width="11.28515625" style="63" customWidth="1"/>
    <col min="5" max="5" width="5.42578125" style="63" customWidth="1"/>
    <col min="6" max="6" width="6" style="63" customWidth="1"/>
    <col min="7" max="7" width="11.140625" style="63" customWidth="1"/>
    <col min="8" max="8" width="9.85546875" style="63" customWidth="1"/>
    <col min="9" max="9" width="9.140625" style="63" customWidth="1"/>
    <col min="10" max="10" width="2.5703125" style="413" customWidth="1"/>
    <col min="11" max="15" width="2.140625" style="63" customWidth="1"/>
    <col min="16" max="16" width="2.28515625" style="63" customWidth="1"/>
    <col min="17" max="17" width="11.28515625" style="63" customWidth="1"/>
    <col min="18" max="18" width="10.7109375" style="63" customWidth="1"/>
    <col min="19" max="19" width="9" style="63" bestFit="1" customWidth="1"/>
    <col min="20" max="20" width="11.28515625" style="63" bestFit="1" customWidth="1"/>
    <col min="21" max="21" width="8.5703125" style="63" bestFit="1" customWidth="1"/>
    <col min="22" max="22" width="9.5703125" style="63" customWidth="1"/>
    <col min="23" max="24" width="10.7109375" style="63" customWidth="1"/>
    <col min="25" max="16384" width="11.5703125" style="63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[1]Firma!$A$12</f>
        <v>44986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84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86"/>
      <c r="H2" s="286"/>
      <c r="I2" s="289"/>
      <c r="J2" s="405"/>
      <c r="K2" s="287"/>
      <c r="L2" s="287"/>
      <c r="M2" s="287"/>
      <c r="N2" s="286"/>
      <c r="O2" s="406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125" t="str">
        <f>VLOOKUP(P3,'[1]Mit-1'!$A$5:$B$19,2,FALSE)</f>
        <v>Mustermann Max</v>
      </c>
      <c r="H3" s="109"/>
      <c r="I3" s="126"/>
      <c r="J3" s="407"/>
      <c r="K3" s="109"/>
      <c r="L3" s="109"/>
      <c r="M3" s="109"/>
      <c r="N3" s="109"/>
      <c r="O3" s="196"/>
      <c r="P3" s="127">
        <v>1</v>
      </c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64"/>
      <c r="V4" s="64"/>
      <c r="W4" s="64"/>
      <c r="X4" s="64"/>
      <c r="Y4" s="64"/>
      <c r="Z4" s="64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64"/>
      <c r="Q5" s="681" t="s">
        <v>136</v>
      </c>
      <c r="R5" s="682"/>
      <c r="S5" s="683"/>
      <c r="T5" s="64"/>
      <c r="U5" s="64"/>
      <c r="V5" s="64"/>
      <c r="W5" s="64"/>
      <c r="X5" s="64"/>
      <c r="Y5" s="64"/>
      <c r="Z5" s="64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64"/>
      <c r="Q6" s="684"/>
      <c r="R6" s="685"/>
      <c r="S6" s="686"/>
      <c r="T6" s="64"/>
      <c r="U6" s="64"/>
      <c r="V6" s="64"/>
      <c r="W6" s="64"/>
      <c r="X6" s="64"/>
      <c r="Y6" s="64"/>
      <c r="Z6" s="64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64"/>
      <c r="Q7" s="687" t="s">
        <v>134</v>
      </c>
      <c r="R7" s="688"/>
      <c r="S7" s="689"/>
      <c r="T7" s="64"/>
      <c r="U7" s="64"/>
      <c r="V7" s="64"/>
      <c r="W7" s="64"/>
      <c r="X7" s="64"/>
      <c r="Y7" s="64"/>
      <c r="Z7" s="64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VLOOKUP($P$3,'[1]Mit-2'!$A$5:$P$19,5,FALSE)</f>
        <v>2</v>
      </c>
      <c r="H8" s="133" t="s">
        <v>231</v>
      </c>
      <c r="I8" s="221">
        <f>VLOOKUP($P$3,'[1]Mit-2'!$A$46:$AD$60,19,FALSE)</f>
        <v>2</v>
      </c>
      <c r="J8" s="610" t="s">
        <v>226</v>
      </c>
      <c r="K8" s="611"/>
      <c r="L8" s="611"/>
      <c r="M8" s="611"/>
      <c r="N8" s="611"/>
      <c r="O8" s="612"/>
      <c r="P8" s="64"/>
      <c r="Q8" s="687"/>
      <c r="R8" s="688"/>
      <c r="S8" s="689"/>
      <c r="T8" s="64"/>
      <c r="U8" s="64"/>
      <c r="V8" s="64"/>
      <c r="W8" s="64"/>
      <c r="X8" s="64"/>
      <c r="Y8" s="64"/>
      <c r="Z8" s="64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VLOOKUP($P$3,'[1]Mit-2'!$A$5:$AD$19,19,FALSE)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64"/>
      <c r="Q9" s="284"/>
      <c r="R9" s="560"/>
      <c r="S9" s="67"/>
      <c r="T9" s="390">
        <f>[1]Firma!$B$12</f>
        <v>31</v>
      </c>
      <c r="U9" s="64"/>
      <c r="V9" s="64"/>
      <c r="W9" s="64"/>
      <c r="X9" s="64"/>
      <c r="Y9" s="64"/>
      <c r="Z9" s="64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68"/>
      <c r="H10" s="268"/>
      <c r="I10" s="272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64"/>
      <c r="Q10" s="673" t="s">
        <v>207</v>
      </c>
      <c r="R10" s="674"/>
      <c r="S10" s="675"/>
      <c r="T10" s="64"/>
      <c r="U10" s="64"/>
      <c r="V10" s="64"/>
      <c r="W10" s="64"/>
      <c r="X10" s="64"/>
      <c r="Y10" s="64"/>
      <c r="Z10" s="64"/>
    </row>
    <row r="11" spans="1:26" s="136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5"/>
      <c r="Q11" s="676"/>
      <c r="R11" s="677"/>
      <c r="S11" s="678"/>
      <c r="T11" s="135"/>
      <c r="U11" s="135"/>
      <c r="V11" s="135"/>
      <c r="W11" s="135"/>
      <c r="X11" s="135"/>
      <c r="Y11" s="135"/>
      <c r="Z11" s="135"/>
    </row>
    <row r="12" spans="1:26" x14ac:dyDescent="0.2">
      <c r="A12" s="250">
        <f>VLOOKUP($G$8,'[1]Lohntab-Tab-retr.'!$A$7:$O$15,4,FALSE)</f>
        <v>1477.83</v>
      </c>
      <c r="B12" s="251">
        <f>VLOOKUP($G$8,'[1]Lohntab-Tab-retr.'!$A$21:$O$29,4,FALSE)</f>
        <v>532.54</v>
      </c>
      <c r="C12" s="251">
        <f>I8*VLOOKUP($G$8,'[1]Lohntab-Tab-retr.'!$A$63:$O$71,4,FALSE)</f>
        <v>45.66</v>
      </c>
      <c r="D12" s="251">
        <f>VLOOKUP($G$8,'[1]Lohntab-Tab-retr.'!$A$35:$O$43,4,FALSE)</f>
        <v>0</v>
      </c>
      <c r="E12" s="695">
        <f>VLOOKUP($G$8,'[1]Lohntab-Tab-retr.'!$A$49:$O$57,4,FALSE)</f>
        <v>8</v>
      </c>
      <c r="F12" s="695"/>
      <c r="G12" s="251">
        <f>VLOOKUP($P$3,'[1]Mit-2'!$A$24:$P$38,5,FALSE)</f>
        <v>300</v>
      </c>
      <c r="H12" s="251">
        <f>VLOOKUP($G$8,'[1]Lohntab-Tab-retr.'!$A$77:$O$85,4,FALSE)</f>
        <v>0</v>
      </c>
      <c r="I12" s="252"/>
      <c r="J12" s="617"/>
      <c r="K12" s="620"/>
      <c r="L12" s="623"/>
      <c r="M12" s="623"/>
      <c r="N12" s="623"/>
      <c r="O12" s="693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136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spans="1:26" x14ac:dyDescent="0.2">
      <c r="A14" s="257">
        <f>[1]Tab!G140</f>
        <v>168</v>
      </c>
      <c r="B14" s="338">
        <f>[1]Tab!G141</f>
        <v>26</v>
      </c>
      <c r="C14" s="258">
        <f>ROUND(I14/A14,5)</f>
        <v>14.07161</v>
      </c>
      <c r="D14" s="258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59">
        <f>SUM(A12:I12)</f>
        <v>2364.0299999999997</v>
      </c>
      <c r="J14" s="617"/>
      <c r="K14" s="620"/>
      <c r="L14" s="623"/>
      <c r="M14" s="623"/>
      <c r="N14" s="623"/>
      <c r="O14" s="693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spans="1:26" s="136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x14ac:dyDescent="0.2">
      <c r="A16" s="572">
        <f>'02'!A16+(VLOOKUP($P$3,'[1]Mit-2'!$A$90:$P$104,5,FALSE))*G9%</f>
        <v>14.43</v>
      </c>
      <c r="B16" s="569">
        <f>M50</f>
        <v>0</v>
      </c>
      <c r="C16" s="569">
        <f>A16-B16</f>
        <v>14.43</v>
      </c>
      <c r="D16" s="569">
        <f>'02'!D16+(VLOOKUP($P$3,'[1]Mit-2'!$A$90:$AD$104,19,FALSE))*G9%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</row>
    <row r="17" spans="1:26" ht="3.75" customHeight="1" x14ac:dyDescent="0.2">
      <c r="A17" s="245"/>
      <c r="B17" s="69"/>
      <c r="C17" s="69"/>
      <c r="D17" s="69"/>
      <c r="E17" s="69"/>
      <c r="F17" s="69"/>
      <c r="G17" s="69"/>
      <c r="H17" s="69"/>
      <c r="I17" s="70"/>
      <c r="J17" s="617"/>
      <c r="K17" s="620"/>
      <c r="L17" s="623"/>
      <c r="M17" s="623"/>
      <c r="N17" s="623"/>
      <c r="O17" s="693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74"/>
      <c r="V19" s="64"/>
      <c r="W19" s="64"/>
      <c r="X19" s="64"/>
      <c r="Y19" s="73"/>
      <c r="Z19" s="74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74"/>
      <c r="V20" s="75"/>
      <c r="W20" s="74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74"/>
      <c r="V21" s="75"/>
      <c r="W21" s="74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74"/>
      <c r="V22" s="75"/>
      <c r="W22" s="74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74"/>
      <c r="V23" s="75"/>
      <c r="W23" s="74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74"/>
      <c r="V24" s="75"/>
      <c r="W24" s="74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74"/>
      <c r="Q25"/>
      <c r="R25"/>
      <c r="S25"/>
      <c r="T25"/>
      <c r="U25"/>
      <c r="V25"/>
      <c r="W25" s="74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74"/>
      <c r="Q26"/>
      <c r="R26"/>
      <c r="S26"/>
      <c r="T26"/>
      <c r="U26"/>
      <c r="V26"/>
      <c r="W26" s="74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74"/>
      <c r="Q27"/>
      <c r="R27"/>
      <c r="S27"/>
      <c r="T27"/>
      <c r="U27"/>
      <c r="V27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74"/>
      <c r="Q28"/>
      <c r="R28"/>
      <c r="S28"/>
      <c r="T28"/>
      <c r="U28"/>
      <c r="V28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78"/>
      <c r="Q29"/>
      <c r="R29"/>
      <c r="S29"/>
      <c r="T29"/>
      <c r="U29"/>
      <c r="V29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64"/>
      <c r="Q30"/>
      <c r="R30"/>
      <c r="S30"/>
      <c r="T30"/>
      <c r="U30"/>
      <c r="V30"/>
      <c r="Z30" s="64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64"/>
      <c r="Q31"/>
      <c r="R31"/>
      <c r="S31"/>
      <c r="T31"/>
      <c r="U31"/>
      <c r="V31"/>
      <c r="Z31" s="64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64"/>
      <c r="Q32"/>
      <c r="R32"/>
      <c r="S32"/>
      <c r="T32"/>
      <c r="U32"/>
      <c r="V32"/>
      <c r="Z32" s="64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64"/>
      <c r="Q33"/>
      <c r="R33"/>
      <c r="S33"/>
      <c r="T33"/>
      <c r="U33"/>
      <c r="V33"/>
      <c r="Z33" s="64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64"/>
      <c r="Q34"/>
      <c r="R34"/>
      <c r="S34"/>
      <c r="T34"/>
      <c r="U34"/>
      <c r="V34"/>
      <c r="Z34" s="64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74"/>
      <c r="Q35"/>
      <c r="R35"/>
      <c r="S35"/>
      <c r="T35"/>
      <c r="U35"/>
      <c r="V35"/>
      <c r="Y35" s="74"/>
      <c r="Z35" s="74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74"/>
      <c r="Q36"/>
      <c r="R36"/>
      <c r="S36"/>
      <c r="T36"/>
      <c r="U36"/>
      <c r="V36"/>
      <c r="Y36" s="74"/>
      <c r="Z36" s="74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84"/>
      <c r="H37" s="58">
        <f>ROUND(IF(I29=0,0,VLOOKUP($P$3,'[1]Mit-1'!$A$5:$AD$19,12,FALSE)),2)</f>
        <v>0</v>
      </c>
      <c r="I37" s="570"/>
      <c r="J37" s="410">
        <v>19</v>
      </c>
      <c r="K37" s="542"/>
      <c r="L37" s="543"/>
      <c r="M37" s="543"/>
      <c r="N37" s="543"/>
      <c r="O37" s="544"/>
      <c r="P37" s="74"/>
      <c r="Q37"/>
      <c r="R37"/>
      <c r="S37"/>
      <c r="T37"/>
      <c r="U37"/>
      <c r="V37"/>
      <c r="Y37" s="74"/>
      <c r="Z37" s="74"/>
    </row>
    <row r="38" spans="1:26" ht="12" customHeight="1" x14ac:dyDescent="0.2">
      <c r="A38" s="153" t="s">
        <v>113</v>
      </c>
      <c r="B38" s="83"/>
      <c r="C38" s="83"/>
      <c r="D38" s="83"/>
      <c r="E38" s="83"/>
      <c r="F38" s="83"/>
      <c r="G38" s="84"/>
      <c r="H38" s="334">
        <f ca="1">IF(SUM(I29:I37)-H37&lt;0,0,SUM(I29:I36)-H37)</f>
        <v>0</v>
      </c>
      <c r="I38" s="227"/>
      <c r="J38" s="411">
        <v>20</v>
      </c>
      <c r="K38" s="542"/>
      <c r="L38" s="543"/>
      <c r="M38" s="543"/>
      <c r="N38" s="543"/>
      <c r="O38" s="544"/>
      <c r="P38" s="74"/>
      <c r="Q38"/>
      <c r="R38"/>
      <c r="S38"/>
      <c r="T38"/>
      <c r="U38"/>
      <c r="V38"/>
      <c r="Y38" s="74"/>
      <c r="Z38" s="74"/>
    </row>
    <row r="39" spans="1:26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6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2" t="s">
        <v>141</v>
      </c>
      <c r="B43" s="301"/>
      <c r="C43" s="83"/>
      <c r="D43" s="302"/>
      <c r="E43" s="711"/>
      <c r="F43" s="712"/>
      <c r="G43" s="303"/>
      <c r="H43" s="304" t="s">
        <v>33</v>
      </c>
      <c r="I43" s="222"/>
      <c r="J43" s="410">
        <v>25</v>
      </c>
      <c r="K43" s="542"/>
      <c r="L43" s="543"/>
      <c r="M43" s="543"/>
      <c r="N43" s="543"/>
      <c r="O43" s="544"/>
      <c r="P43" s="74"/>
      <c r="Q43" s="121" t="s">
        <v>0</v>
      </c>
      <c r="R43" s="122" t="s">
        <v>1</v>
      </c>
      <c r="S43" s="630"/>
      <c r="T43" s="634"/>
      <c r="U43" s="626"/>
      <c r="V43" s="88"/>
      <c r="W43" s="74"/>
      <c r="X43" s="74"/>
      <c r="Y43" s="74"/>
      <c r="Z43" s="74"/>
    </row>
    <row r="44" spans="1:26" ht="12" customHeight="1" x14ac:dyDescent="0.2">
      <c r="A44" s="148" t="s">
        <v>114</v>
      </c>
      <c r="B44" s="92"/>
      <c r="C44" s="87"/>
      <c r="D44" s="62"/>
      <c r="E44" s="646"/>
      <c r="F44" s="647"/>
      <c r="G44" s="93"/>
      <c r="H44" s="537"/>
      <c r="I44" s="229">
        <f>-H44</f>
        <v>0</v>
      </c>
      <c r="J44" s="411">
        <v>26</v>
      </c>
      <c r="K44" s="542"/>
      <c r="L44" s="543"/>
      <c r="M44" s="543"/>
      <c r="N44" s="543"/>
      <c r="O44" s="544"/>
      <c r="P44" s="74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88"/>
      <c r="W44" s="74"/>
      <c r="X44" s="74"/>
      <c r="Y44" s="74"/>
      <c r="Z44" s="74"/>
    </row>
    <row r="45" spans="1:26" s="64" customFormat="1" ht="12" customHeight="1" x14ac:dyDescent="0.2">
      <c r="A45" s="159" t="s">
        <v>115</v>
      </c>
      <c r="B45" s="94"/>
      <c r="C45" s="162" t="s">
        <v>219</v>
      </c>
      <c r="D45" s="95">
        <v>11</v>
      </c>
      <c r="E45" s="646"/>
      <c r="F45" s="647"/>
      <c r="G45" s="99"/>
      <c r="H45" s="211">
        <f>IF(I29=0,0,VLOOKUP($P$3,'[1]Mit-2'!$A$65:$P$79,5,FALSE))</f>
        <v>0</v>
      </c>
      <c r="I45" s="226">
        <f>IF($I$9="",ROUND(IF($I$29=0,0,-H45/D45),2),-Steuern!J46)</f>
        <v>0</v>
      </c>
      <c r="J45" s="410">
        <v>27</v>
      </c>
      <c r="K45" s="542"/>
      <c r="L45" s="543"/>
      <c r="M45" s="543"/>
      <c r="N45" s="543"/>
      <c r="O45" s="544"/>
      <c r="P45" s="74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88"/>
      <c r="W45" s="74"/>
      <c r="X45" s="74"/>
      <c r="Y45" s="74"/>
      <c r="Z45" s="74"/>
    </row>
    <row r="46" spans="1:26" ht="12" customHeight="1" x14ac:dyDescent="0.2">
      <c r="A46" s="145" t="s">
        <v>142</v>
      </c>
      <c r="B46" s="97"/>
      <c r="C46" s="98"/>
      <c r="D46" s="86"/>
      <c r="E46" s="717"/>
      <c r="F46" s="718"/>
      <c r="G46" s="164"/>
      <c r="H46" s="165" t="s">
        <v>33</v>
      </c>
      <c r="I46" s="222"/>
      <c r="J46" s="411">
        <v>28</v>
      </c>
      <c r="K46" s="542"/>
      <c r="L46" s="543"/>
      <c r="M46" s="543"/>
      <c r="N46" s="543"/>
      <c r="O46" s="544"/>
      <c r="P46" s="74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88"/>
      <c r="W46" s="74"/>
      <c r="X46" s="74"/>
      <c r="Y46" s="74"/>
      <c r="Z46" s="74"/>
    </row>
    <row r="47" spans="1:26" ht="12" customHeight="1" x14ac:dyDescent="0.2">
      <c r="A47" s="148" t="s">
        <v>114</v>
      </c>
      <c r="B47" s="92"/>
      <c r="C47" s="87"/>
      <c r="D47" s="62"/>
      <c r="E47" s="646"/>
      <c r="F47" s="647"/>
      <c r="G47" s="93"/>
      <c r="H47" s="537"/>
      <c r="I47" s="223">
        <f>-H47</f>
        <v>0</v>
      </c>
      <c r="J47" s="410">
        <v>29</v>
      </c>
      <c r="K47" s="542"/>
      <c r="L47" s="543"/>
      <c r="M47" s="543"/>
      <c r="N47" s="543"/>
      <c r="O47" s="544"/>
      <c r="P47" s="64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65"/>
      <c r="W47" s="64"/>
      <c r="X47" s="64"/>
      <c r="Y47" s="64"/>
      <c r="Z47" s="64"/>
    </row>
    <row r="48" spans="1:26" ht="12" customHeight="1" x14ac:dyDescent="0.2">
      <c r="A48" s="317" t="s">
        <v>115</v>
      </c>
      <c r="B48" s="318"/>
      <c r="C48" s="319" t="s">
        <v>49</v>
      </c>
      <c r="D48" s="320">
        <v>11</v>
      </c>
      <c r="E48" s="715"/>
      <c r="F48" s="716"/>
      <c r="G48" s="321"/>
      <c r="H48" s="450">
        <f>IF(I29=0,0,VLOOKUP($P$3,'[1]Mit-2'!$A$65:$AD$79,19,FALSE))</f>
        <v>0</v>
      </c>
      <c r="I48" s="226">
        <f>IF($I$9="",ROUND(IF($I$29=0,0,-H48/D48),2),-Steuern!N46)</f>
        <v>0</v>
      </c>
      <c r="J48" s="411">
        <v>30</v>
      </c>
      <c r="K48" s="542"/>
      <c r="L48" s="543"/>
      <c r="M48" s="543"/>
      <c r="N48" s="543"/>
      <c r="O48" s="544"/>
      <c r="P48" s="64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65"/>
      <c r="W48" s="64"/>
      <c r="X48" s="64"/>
      <c r="Y48" s="64"/>
      <c r="Z48" s="64"/>
    </row>
    <row r="49" spans="1:26" ht="12" customHeight="1" x14ac:dyDescent="0.2">
      <c r="A49" s="159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243</v>
      </c>
      <c r="H49" s="333">
        <v>9</v>
      </c>
      <c r="I49" s="518">
        <f>IF($I$9="",ROUND(IF($I$29=0,0,-D49/H49),2),-Steuern!R47)</f>
        <v>0</v>
      </c>
      <c r="J49" s="416">
        <v>31</v>
      </c>
      <c r="K49" s="542"/>
      <c r="L49" s="543"/>
      <c r="M49" s="543"/>
      <c r="N49" s="543"/>
      <c r="O49" s="544"/>
      <c r="P49" s="64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65"/>
      <c r="W49" s="64"/>
      <c r="X49" s="64"/>
      <c r="Y49" s="64"/>
      <c r="Z49" s="64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27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74"/>
      <c r="Q50" s="297" t="s">
        <v>8</v>
      </c>
      <c r="R50" s="298"/>
      <c r="S50" s="117"/>
      <c r="T50" s="118"/>
      <c r="U50" s="119">
        <f ca="1">ROUND(SUM(U44:U47),2)</f>
        <v>0</v>
      </c>
      <c r="V50" s="88"/>
      <c r="W50" s="74"/>
      <c r="X50" s="74"/>
      <c r="Y50" s="74"/>
      <c r="Z50" s="74"/>
    </row>
    <row r="51" spans="1:26" ht="12" customHeight="1" x14ac:dyDescent="0.2">
      <c r="A51" s="148" t="s">
        <v>117</v>
      </c>
      <c r="B51" s="100"/>
      <c r="C51" s="80">
        <f>IF(I29=0,0,Steuern!J78)</f>
        <v>0</v>
      </c>
      <c r="D51" s="80">
        <f>IF(I29=0,0,Steuern!L78)</f>
        <v>0</v>
      </c>
      <c r="E51" s="646">
        <f>IF(I29=0,0,Steuern!N78)</f>
        <v>0</v>
      </c>
      <c r="F51" s="647"/>
      <c r="G51" s="80">
        <f>IF(I29=0,0,Steuern!P78)</f>
        <v>0</v>
      </c>
      <c r="H51" s="101">
        <f>IF(I29=0,0,Steuern!R78)</f>
        <v>0</v>
      </c>
      <c r="I51" s="227"/>
      <c r="J51" s="415"/>
      <c r="K51" s="636"/>
      <c r="L51" s="632"/>
      <c r="M51" s="632"/>
      <c r="N51" s="632"/>
      <c r="O51" s="638"/>
      <c r="P51" s="74"/>
      <c r="Q51" s="88"/>
      <c r="R51" s="88"/>
      <c r="S51" s="88"/>
      <c r="T51" s="88"/>
      <c r="U51" s="88"/>
      <c r="V51" s="88"/>
      <c r="W51" s="74"/>
      <c r="X51" s="74"/>
      <c r="Y51" s="74"/>
      <c r="Z51" s="74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74"/>
      <c r="Q52" s="88"/>
      <c r="R52" s="88"/>
      <c r="S52" s="88"/>
      <c r="T52" s="96"/>
      <c r="U52" s="88"/>
      <c r="V52" s="88"/>
      <c r="W52" s="74"/>
      <c r="X52" s="74"/>
      <c r="Y52" s="74"/>
      <c r="Z52" s="74"/>
    </row>
    <row r="53" spans="1:26" ht="12" customHeight="1" x14ac:dyDescent="0.2">
      <c r="A53" s="178" t="s">
        <v>119</v>
      </c>
      <c r="B53" s="105"/>
      <c r="C53" s="105"/>
      <c r="D53" s="105"/>
      <c r="E53" s="105"/>
      <c r="F53" s="105"/>
      <c r="G53" s="105"/>
      <c r="H53" s="105"/>
      <c r="I53" s="225">
        <f ca="1">SUM(I29:I52)</f>
        <v>0</v>
      </c>
      <c r="J53" s="412"/>
      <c r="K53" s="66"/>
      <c r="L53" s="66"/>
      <c r="M53" s="66"/>
      <c r="N53" s="66"/>
      <c r="O53" s="196"/>
      <c r="P53" s="106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68"/>
      <c r="W53" s="106"/>
      <c r="X53" s="106"/>
      <c r="Y53" s="106"/>
      <c r="Z53" s="106"/>
    </row>
    <row r="54" spans="1:26" ht="12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6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64"/>
      <c r="W54" s="64"/>
      <c r="X54" s="64"/>
    </row>
    <row r="55" spans="1:26" ht="15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64"/>
      <c r="W55" s="64"/>
      <c r="X55" s="64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ROUND(C54*'[1]Mit-2'!$E$84%,2)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106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106"/>
      <c r="W57" s="106"/>
      <c r="X57" s="106"/>
      <c r="Y57" s="106"/>
      <c r="Z57" s="106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106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106"/>
      <c r="W58" s="106"/>
      <c r="X58" s="106"/>
      <c r="Y58" s="106"/>
      <c r="Z58" s="106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713">
        <f>-'02'!H59</f>
        <v>0</v>
      </c>
      <c r="F59" s="714"/>
      <c r="G59" s="174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106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106"/>
      <c r="W59" s="106"/>
      <c r="X59" s="106"/>
      <c r="Y59" s="106"/>
      <c r="Z59" s="106"/>
    </row>
    <row r="60" spans="1:26" ht="12" customHeight="1" x14ac:dyDescent="0.2">
      <c r="A60" s="429" t="s">
        <v>43</v>
      </c>
      <c r="B60" s="430"/>
      <c r="C60" s="430"/>
      <c r="D60" s="430"/>
      <c r="E60" s="430"/>
      <c r="F60" s="430"/>
      <c r="G60" s="430"/>
      <c r="H60" s="430"/>
      <c r="I60" s="528">
        <f>IF(I29=0,0,ROUNDUP(Q61,0))</f>
        <v>0</v>
      </c>
      <c r="J60" s="533"/>
      <c r="K60" s="534"/>
      <c r="L60" s="534"/>
      <c r="M60" s="534"/>
      <c r="N60" s="701"/>
      <c r="O60" s="702"/>
      <c r="P60" s="74"/>
      <c r="Q60" s="297" t="s">
        <v>8</v>
      </c>
      <c r="R60" s="298"/>
      <c r="S60" s="117"/>
      <c r="T60" s="118"/>
      <c r="U60" s="120">
        <f>ROUND(SUM(U55:U59),2)</f>
        <v>0</v>
      </c>
      <c r="V60" s="74"/>
      <c r="W60" s="74"/>
      <c r="X60" s="74"/>
      <c r="Y60" s="74"/>
      <c r="Z60" s="74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64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Q64" s="205"/>
    </row>
    <row r="65" spans="1:6" x14ac:dyDescent="0.2">
      <c r="A65" s="108" t="str">
        <f>'[1]Beschr-Descr.'!A2</f>
        <v>Descrizione elementi di retribuzione</v>
      </c>
      <c r="F65" s="108" t="s">
        <v>3</v>
      </c>
    </row>
    <row r="66" spans="1:6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</row>
    <row r="67" spans="1:6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</row>
    <row r="68" spans="1:6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</row>
    <row r="69" spans="1:6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</row>
    <row r="70" spans="1:6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</row>
    <row r="71" spans="1:6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</row>
    <row r="72" spans="1:6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</row>
    <row r="73" spans="1:6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</row>
    <row r="74" spans="1:6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</row>
    <row r="75" spans="1:6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</row>
    <row r="76" spans="1:6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</row>
    <row r="77" spans="1:6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</row>
    <row r="78" spans="1:6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</row>
    <row r="79" spans="1:6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</row>
    <row r="80" spans="1:6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</row>
    <row r="81" spans="1:5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</row>
    <row r="82" spans="1:5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</row>
    <row r="83" spans="1:5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</row>
    <row r="84" spans="1:5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</row>
    <row r="85" spans="1:5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</row>
    <row r="86" spans="1:5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</row>
    <row r="87" spans="1:5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</row>
    <row r="88" spans="1:5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</row>
    <row r="89" spans="1:5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</row>
    <row r="90" spans="1:5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</row>
    <row r="91" spans="1:5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</row>
    <row r="92" spans="1:5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</row>
    <row r="93" spans="1:5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</row>
    <row r="94" spans="1:5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</row>
    <row r="95" spans="1:5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</row>
    <row r="96" spans="1:5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</row>
    <row r="97" spans="1:5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</row>
    <row r="98" spans="1:5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</row>
    <row r="99" spans="1:5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</row>
    <row r="100" spans="1:5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</row>
    <row r="101" spans="1:5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</row>
    <row r="102" spans="1:5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</row>
    <row r="103" spans="1:5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</row>
    <row r="104" spans="1:5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</row>
    <row r="105" spans="1:5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</row>
    <row r="106" spans="1:5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</row>
    <row r="107" spans="1:5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</row>
    <row r="108" spans="1:5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</row>
    <row r="109" spans="1:5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</row>
    <row r="110" spans="1:5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</row>
    <row r="111" spans="1:5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</row>
    <row r="112" spans="1:5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</row>
    <row r="113" spans="1:5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</row>
    <row r="114" spans="1:5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</row>
    <row r="115" spans="1:5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</row>
    <row r="116" spans="1:5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</row>
    <row r="117" spans="1:5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</row>
    <row r="118" spans="1:5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</row>
    <row r="119" spans="1:5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</row>
    <row r="120" spans="1:5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</row>
    <row r="121" spans="1:5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</row>
    <row r="122" spans="1:5" x14ac:dyDescent="0.2">
      <c r="A122" s="63">
        <f>'[1]Beschr-Descr.'!A63</f>
        <v>0</v>
      </c>
    </row>
    <row r="123" spans="1:5" x14ac:dyDescent="0.2">
      <c r="A123" s="63">
        <f>'[1]Beschr-Descr.'!A64</f>
        <v>0</v>
      </c>
    </row>
    <row r="124" spans="1:5" x14ac:dyDescent="0.2">
      <c r="A124" s="63">
        <f>'[1]Beschr-Descr.'!A65</f>
        <v>0</v>
      </c>
    </row>
    <row r="125" spans="1:5" x14ac:dyDescent="0.2">
      <c r="A125" s="63">
        <f>'[1]Beschr-Descr.'!A66</f>
        <v>0</v>
      </c>
    </row>
    <row r="126" spans="1:5" x14ac:dyDescent="0.2">
      <c r="A126" s="63">
        <f>'[1]Beschr-Descr.'!A67</f>
        <v>0</v>
      </c>
    </row>
    <row r="127" spans="1:5" x14ac:dyDescent="0.2">
      <c r="A127" s="63">
        <f>'[1]Beschr-Descr.'!A68</f>
        <v>0</v>
      </c>
    </row>
    <row r="128" spans="1:5" x14ac:dyDescent="0.2">
      <c r="A128" s="63">
        <f>'[1]Beschr-Descr.'!A69</f>
        <v>0</v>
      </c>
    </row>
    <row r="129" spans="1:1" x14ac:dyDescent="0.2">
      <c r="A129" s="63">
        <f>'[1]Beschr-Descr.'!A70</f>
        <v>0</v>
      </c>
    </row>
    <row r="130" spans="1:1" x14ac:dyDescent="0.2">
      <c r="A130" s="63">
        <f>'[1]Beschr-Descr.'!A71</f>
        <v>0</v>
      </c>
    </row>
    <row r="131" spans="1:1" x14ac:dyDescent="0.2">
      <c r="A131" s="63">
        <f>'[1]Beschr-Descr.'!A72</f>
        <v>0</v>
      </c>
    </row>
    <row r="132" spans="1:1" x14ac:dyDescent="0.2">
      <c r="A132" s="63">
        <f>'[1]Beschr-Descr.'!A73</f>
        <v>0</v>
      </c>
    </row>
    <row r="133" spans="1:1" x14ac:dyDescent="0.2">
      <c r="A133" s="63">
        <f>'[1]Beschr-Descr.'!A74</f>
        <v>0</v>
      </c>
    </row>
    <row r="134" spans="1:1" x14ac:dyDescent="0.2">
      <c r="A134" s="63">
        <f>'[1]Beschr-Descr.'!A75</f>
        <v>0</v>
      </c>
    </row>
    <row r="135" spans="1:1" x14ac:dyDescent="0.2">
      <c r="A135" s="63">
        <f>'[1]Beschr-Descr.'!A76</f>
        <v>0</v>
      </c>
    </row>
    <row r="136" spans="1:1" x14ac:dyDescent="0.2">
      <c r="A136" s="63">
        <f>'[1]Beschr-Descr.'!A77</f>
        <v>0</v>
      </c>
    </row>
    <row r="137" spans="1:1" x14ac:dyDescent="0.2">
      <c r="A137" s="63">
        <f>'[1]Beschr-Descr.'!A78</f>
        <v>0</v>
      </c>
    </row>
    <row r="138" spans="1:1" x14ac:dyDescent="0.2">
      <c r="A138" s="63">
        <f>'[1]Beschr-Descr.'!A79</f>
        <v>0</v>
      </c>
    </row>
    <row r="139" spans="1:1" x14ac:dyDescent="0.2">
      <c r="A139" s="63">
        <f>'[1]Beschr-Descr.'!A80</f>
        <v>0</v>
      </c>
    </row>
    <row r="140" spans="1:1" x14ac:dyDescent="0.2">
      <c r="A140" s="63">
        <f>'[1]Beschr-Descr.'!A81</f>
        <v>0</v>
      </c>
    </row>
    <row r="141" spans="1:1" x14ac:dyDescent="0.2">
      <c r="A141" s="63">
        <f>'[1]Beschr-Descr.'!A82</f>
        <v>0</v>
      </c>
    </row>
    <row r="142" spans="1:1" x14ac:dyDescent="0.2">
      <c r="A142" s="63">
        <f>'[1]Beschr-Descr.'!A83</f>
        <v>0</v>
      </c>
    </row>
    <row r="143" spans="1:1" x14ac:dyDescent="0.2">
      <c r="A143" s="63">
        <f>'[1]Beschr-Descr.'!A84</f>
        <v>0</v>
      </c>
    </row>
    <row r="144" spans="1:1" x14ac:dyDescent="0.2">
      <c r="A144" s="63">
        <f>'[1]Beschr-Descr.'!A85</f>
        <v>0</v>
      </c>
    </row>
    <row r="145" spans="1:1" x14ac:dyDescent="0.2">
      <c r="A145" s="63">
        <f>'[1]Beschr-Descr.'!A86</f>
        <v>0</v>
      </c>
    </row>
    <row r="146" spans="1:1" x14ac:dyDescent="0.2">
      <c r="A146" s="63">
        <f>'[1]Beschr-Descr.'!A87</f>
        <v>0</v>
      </c>
    </row>
    <row r="147" spans="1:1" x14ac:dyDescent="0.2">
      <c r="A147" s="63">
        <f>'[1]Beschr-Descr.'!A88</f>
        <v>0</v>
      </c>
    </row>
    <row r="148" spans="1:1" x14ac:dyDescent="0.2">
      <c r="A148" s="63">
        <f>'[1]Beschr-Descr.'!A89</f>
        <v>0</v>
      </c>
    </row>
    <row r="149" spans="1:1" x14ac:dyDescent="0.2">
      <c r="A149" s="63">
        <f>'[1]Beschr-Descr.'!A90</f>
        <v>0</v>
      </c>
    </row>
    <row r="150" spans="1:1" x14ac:dyDescent="0.2">
      <c r="A150" s="63">
        <f>'[1]Beschr-Descr.'!A91</f>
        <v>0</v>
      </c>
    </row>
    <row r="151" spans="1:1" x14ac:dyDescent="0.2">
      <c r="A151" s="63">
        <f>'[1]Beschr-Descr.'!A92</f>
        <v>0</v>
      </c>
    </row>
    <row r="152" spans="1:1" x14ac:dyDescent="0.2">
      <c r="A152" s="63">
        <f>'[1]Beschr-Descr.'!A93</f>
        <v>0</v>
      </c>
    </row>
    <row r="153" spans="1:1" x14ac:dyDescent="0.2">
      <c r="A153" s="63">
        <f>'[1]Beschr-Descr.'!A94</f>
        <v>0</v>
      </c>
    </row>
    <row r="154" spans="1:1" x14ac:dyDescent="0.2">
      <c r="A154" s="63">
        <f>'[1]Beschr-Descr.'!A95</f>
        <v>0</v>
      </c>
    </row>
    <row r="155" spans="1:1" x14ac:dyDescent="0.2">
      <c r="A155" s="63">
        <f>'[1]Beschr-Descr.'!A96</f>
        <v>0</v>
      </c>
    </row>
    <row r="156" spans="1:1" x14ac:dyDescent="0.2">
      <c r="A156" s="63">
        <f>'[1]Beschr-Descr.'!A97</f>
        <v>0</v>
      </c>
    </row>
    <row r="157" spans="1:1" x14ac:dyDescent="0.2">
      <c r="A157" s="63">
        <f>'[1]Beschr-Descr.'!A98</f>
        <v>0</v>
      </c>
    </row>
    <row r="158" spans="1:1" x14ac:dyDescent="0.2">
      <c r="A158" s="63">
        <f>'[1]Beschr-Descr.'!A99</f>
        <v>0</v>
      </c>
    </row>
    <row r="159" spans="1:1" x14ac:dyDescent="0.2">
      <c r="A159" s="63">
        <f>'[1]Beschr-Descr.'!A100</f>
        <v>0</v>
      </c>
    </row>
    <row r="160" spans="1:1" x14ac:dyDescent="0.2">
      <c r="A160" s="63">
        <f>'[1]Beschr-Descr.'!A101</f>
        <v>0</v>
      </c>
    </row>
    <row r="161" spans="1:1" x14ac:dyDescent="0.2">
      <c r="A161" s="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disablePrompts="1"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topLeftCell="A4" zoomScaleNormal="100" workbookViewId="0"/>
  </sheetViews>
  <sheetFormatPr baseColWidth="10" defaultColWidth="11.5703125" defaultRowHeight="12.75" x14ac:dyDescent="0.2"/>
  <cols>
    <col min="1" max="1" width="11.28515625" style="63" customWidth="1"/>
    <col min="2" max="2" width="11.7109375" style="63" customWidth="1"/>
    <col min="3" max="3" width="10.85546875" style="63" customWidth="1"/>
    <col min="4" max="4" width="11.28515625" style="63" customWidth="1"/>
    <col min="5" max="5" width="5.42578125" style="63" customWidth="1"/>
    <col min="6" max="6" width="6" style="63" customWidth="1"/>
    <col min="7" max="7" width="11.140625" style="63" customWidth="1"/>
    <col min="8" max="8" width="9.85546875" style="63" customWidth="1"/>
    <col min="9" max="9" width="9.140625" style="63" customWidth="1"/>
    <col min="10" max="10" width="2.5703125" style="413" customWidth="1"/>
    <col min="11" max="15" width="2.140625" style="63" customWidth="1"/>
    <col min="16" max="16" width="2.28515625" style="63" customWidth="1"/>
    <col min="17" max="17" width="11.28515625" style="63" customWidth="1"/>
    <col min="18" max="18" width="10.7109375" style="63" customWidth="1"/>
    <col min="19" max="19" width="9" style="63" bestFit="1" customWidth="1"/>
    <col min="20" max="20" width="11.28515625" style="63" bestFit="1" customWidth="1"/>
    <col min="21" max="21" width="8.5703125" style="63" bestFit="1" customWidth="1"/>
    <col min="22" max="22" width="9.5703125" style="63" customWidth="1"/>
    <col min="23" max="24" width="10.7109375" style="63" customWidth="1"/>
    <col min="25" max="16384" width="11.5703125" style="63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[1]Firma!$A$13</f>
        <v>45017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84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86"/>
      <c r="H2" s="286"/>
      <c r="I2" s="289"/>
      <c r="J2" s="405"/>
      <c r="K2" s="287"/>
      <c r="L2" s="287"/>
      <c r="M2" s="287"/>
      <c r="N2" s="286"/>
      <c r="O2" s="406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125" t="str">
        <f>VLOOKUP(P3,'[1]Mit-1'!$A$5:$B$19,2,FALSE)</f>
        <v>Mustermann Max</v>
      </c>
      <c r="H3" s="109"/>
      <c r="I3" s="126"/>
      <c r="J3" s="407"/>
      <c r="K3" s="109"/>
      <c r="L3" s="109"/>
      <c r="M3" s="109"/>
      <c r="N3" s="109"/>
      <c r="O3" s="196"/>
      <c r="P3" s="127">
        <v>1</v>
      </c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64"/>
      <c r="V4" s="64"/>
      <c r="W4" s="64"/>
      <c r="X4" s="64"/>
      <c r="Y4" s="64"/>
      <c r="Z4" s="64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64"/>
      <c r="Q5" s="681" t="s">
        <v>136</v>
      </c>
      <c r="R5" s="682"/>
      <c r="S5" s="683"/>
      <c r="T5" s="64"/>
      <c r="U5" s="64"/>
      <c r="V5" s="64"/>
      <c r="W5" s="64"/>
      <c r="X5" s="64"/>
      <c r="Y5" s="64"/>
      <c r="Z5" s="64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64"/>
      <c r="Q6" s="684"/>
      <c r="R6" s="685"/>
      <c r="S6" s="686"/>
      <c r="T6" s="64"/>
      <c r="U6" s="64"/>
      <c r="V6" s="64"/>
      <c r="W6" s="64"/>
      <c r="X6" s="64"/>
      <c r="Y6" s="64"/>
      <c r="Z6" s="64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64"/>
      <c r="Q7" s="687" t="s">
        <v>134</v>
      </c>
      <c r="R7" s="688"/>
      <c r="S7" s="689"/>
      <c r="T7" s="64"/>
      <c r="U7" s="64"/>
      <c r="V7" s="64"/>
      <c r="W7" s="64"/>
      <c r="X7" s="64"/>
      <c r="Y7" s="64"/>
      <c r="Z7" s="64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VLOOKUP($P$3,'[1]Mit-2'!$A$5:$P$19,6,FALSE)</f>
        <v>2</v>
      </c>
      <c r="H8" s="133" t="s">
        <v>231</v>
      </c>
      <c r="I8" s="221">
        <f>VLOOKUP($P$3,'[1]Mit-2'!$A$46:$AD$60,20,FALSE)</f>
        <v>2</v>
      </c>
      <c r="J8" s="610" t="s">
        <v>226</v>
      </c>
      <c r="K8" s="611"/>
      <c r="L8" s="611"/>
      <c r="M8" s="611"/>
      <c r="N8" s="611"/>
      <c r="O8" s="612"/>
      <c r="P8" s="64"/>
      <c r="Q8" s="687"/>
      <c r="R8" s="688"/>
      <c r="S8" s="689"/>
      <c r="T8" s="64"/>
      <c r="U8" s="64"/>
      <c r="V8" s="64"/>
      <c r="W8" s="64"/>
      <c r="X8" s="64"/>
      <c r="Y8" s="64"/>
      <c r="Z8" s="64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VLOOKUP($P$3,'[1]Mit-2'!$A$5:$AD$19,20,FALSE)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64"/>
      <c r="Q9" s="284"/>
      <c r="R9" s="560"/>
      <c r="S9" s="67"/>
      <c r="T9" s="390">
        <f>[1]Firma!$B$13</f>
        <v>30</v>
      </c>
      <c r="U9" s="64"/>
      <c r="V9" s="64"/>
      <c r="W9" s="64"/>
      <c r="X9" s="64"/>
      <c r="Y9" s="64"/>
      <c r="Z9" s="64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68"/>
      <c r="H10" s="268"/>
      <c r="I10" s="272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64"/>
      <c r="Q10" s="673" t="s">
        <v>207</v>
      </c>
      <c r="R10" s="674"/>
      <c r="S10" s="675"/>
      <c r="T10" s="64"/>
      <c r="U10" s="64"/>
      <c r="V10" s="64"/>
      <c r="W10" s="64"/>
      <c r="X10" s="64"/>
      <c r="Y10" s="64"/>
      <c r="Z10" s="64"/>
    </row>
    <row r="11" spans="1:26" s="136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5"/>
      <c r="Q11" s="676"/>
      <c r="R11" s="677"/>
      <c r="S11" s="678"/>
      <c r="T11" s="135"/>
      <c r="U11" s="135"/>
      <c r="V11" s="135"/>
      <c r="W11" s="135"/>
      <c r="X11" s="135"/>
      <c r="Y11" s="135"/>
      <c r="Z11" s="135"/>
    </row>
    <row r="12" spans="1:26" x14ac:dyDescent="0.2">
      <c r="A12" s="250">
        <f>VLOOKUP($G$8,'[1]Lohntab-Tab-retr.'!$A$7:$O$15,5,FALSE)</f>
        <v>1477.83</v>
      </c>
      <c r="B12" s="251">
        <f>VLOOKUP($G$8,'[1]Lohntab-Tab-retr.'!$A$21:$O$29,5,FALSE)</f>
        <v>532.54</v>
      </c>
      <c r="C12" s="251">
        <f>I8*VLOOKUP($G$8,'[1]Lohntab-Tab-retr.'!$A$63:$O$71,5,FALSE)</f>
        <v>45.66</v>
      </c>
      <c r="D12" s="251">
        <f>VLOOKUP($G$8,'[1]Lohntab-Tab-retr.'!$A$35:$O$43,5,FALSE)</f>
        <v>0</v>
      </c>
      <c r="E12" s="695">
        <f>VLOOKUP($G$8,'[1]Lohntab-Tab-retr.'!$A$49:$O$57,5,FALSE)</f>
        <v>8</v>
      </c>
      <c r="F12" s="695"/>
      <c r="G12" s="251">
        <f>VLOOKUP($P$3,'[1]Mit-2'!$A$24:$P$38,6,FALSE)</f>
        <v>300</v>
      </c>
      <c r="H12" s="251">
        <f>VLOOKUP($G$8,'[1]Lohntab-Tab-retr.'!$A$77:$O$85,5,FALSE)</f>
        <v>0</v>
      </c>
      <c r="I12" s="252"/>
      <c r="J12" s="617"/>
      <c r="K12" s="620"/>
      <c r="L12" s="623"/>
      <c r="M12" s="623"/>
      <c r="N12" s="623"/>
      <c r="O12" s="693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136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</row>
    <row r="14" spans="1:26" x14ac:dyDescent="0.2">
      <c r="A14" s="257">
        <f>[1]Tab!G140</f>
        <v>168</v>
      </c>
      <c r="B14" s="338">
        <f>[1]Tab!G141</f>
        <v>26</v>
      </c>
      <c r="C14" s="258">
        <f>ROUND(I14/A14,5)</f>
        <v>14.07161</v>
      </c>
      <c r="D14" s="258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59">
        <f>SUM(A12:I12)</f>
        <v>2364.0299999999997</v>
      </c>
      <c r="J14" s="617"/>
      <c r="K14" s="620"/>
      <c r="L14" s="623"/>
      <c r="M14" s="623"/>
      <c r="N14" s="623"/>
      <c r="O14" s="693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spans="1:26" s="136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x14ac:dyDescent="0.2">
      <c r="A16" s="572">
        <f>'03'!A16+(VLOOKUP($P$3,'[1]Mit-2'!$A$90:$P$104,6,FALSE))*G9%</f>
        <v>14.43</v>
      </c>
      <c r="B16" s="569">
        <f>M50</f>
        <v>0</v>
      </c>
      <c r="C16" s="569">
        <f>A16-B16</f>
        <v>14.43</v>
      </c>
      <c r="D16" s="569">
        <f>'03'!D16+(VLOOKUP($P$3,'[1]Mit-2'!$A$90:$AD$104,20,FALSE))*G9%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</row>
    <row r="17" spans="1:26" ht="3.75" customHeight="1" x14ac:dyDescent="0.2">
      <c r="A17" s="245"/>
      <c r="B17" s="69"/>
      <c r="C17" s="69"/>
      <c r="D17" s="69"/>
      <c r="E17" s="69"/>
      <c r="F17" s="69"/>
      <c r="G17" s="69"/>
      <c r="H17" s="69"/>
      <c r="I17" s="70"/>
      <c r="J17" s="617"/>
      <c r="K17" s="620"/>
      <c r="L17" s="623"/>
      <c r="M17" s="623"/>
      <c r="N17" s="623"/>
      <c r="O17" s="693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74"/>
      <c r="V19" s="64"/>
      <c r="W19" s="64"/>
      <c r="X19" s="64"/>
      <c r="Y19" s="73"/>
      <c r="Z19" s="74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74"/>
      <c r="V20" s="75"/>
      <c r="W20" s="74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74"/>
      <c r="V21" s="75"/>
      <c r="W21" s="74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74"/>
      <c r="V22" s="75"/>
      <c r="W22" s="74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74"/>
      <c r="V23" s="75"/>
      <c r="W23" s="74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74"/>
      <c r="V24" s="75"/>
      <c r="W24" s="74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74"/>
      <c r="Q25"/>
      <c r="R25"/>
      <c r="S25"/>
      <c r="T25"/>
      <c r="U25"/>
      <c r="V25"/>
      <c r="W25" s="74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74"/>
      <c r="Q26"/>
      <c r="R26"/>
      <c r="S26"/>
      <c r="T26"/>
      <c r="U26"/>
      <c r="V26"/>
      <c r="W26" s="74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74"/>
      <c r="Q27"/>
      <c r="R27"/>
      <c r="S27"/>
      <c r="T27"/>
      <c r="U27"/>
      <c r="V27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74"/>
      <c r="Q28"/>
      <c r="R28"/>
      <c r="S28"/>
      <c r="T28"/>
      <c r="U28"/>
      <c r="V28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78"/>
      <c r="Q29"/>
      <c r="R29"/>
      <c r="S29"/>
      <c r="T29"/>
      <c r="U29"/>
      <c r="V29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64"/>
      <c r="Q30"/>
      <c r="R30"/>
      <c r="S30"/>
      <c r="T30"/>
      <c r="U30"/>
      <c r="V30"/>
      <c r="Z30" s="64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64"/>
      <c r="Q31"/>
      <c r="R31"/>
      <c r="S31"/>
      <c r="T31"/>
      <c r="U31"/>
      <c r="V31"/>
      <c r="Z31" s="64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64"/>
      <c r="Q32"/>
      <c r="R32"/>
      <c r="S32"/>
      <c r="T32"/>
      <c r="U32"/>
      <c r="V32"/>
      <c r="Z32" s="64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64"/>
      <c r="Q33"/>
      <c r="R33"/>
      <c r="S33"/>
      <c r="T33"/>
      <c r="U33"/>
      <c r="V33"/>
      <c r="Z33" s="64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64"/>
      <c r="Q34"/>
      <c r="R34"/>
      <c r="S34"/>
      <c r="T34"/>
      <c r="U34"/>
      <c r="V34"/>
      <c r="Z34" s="64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74"/>
      <c r="Q35"/>
      <c r="R35"/>
      <c r="S35"/>
      <c r="T35"/>
      <c r="U35"/>
      <c r="V35"/>
      <c r="Y35" s="74"/>
      <c r="Z35" s="74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74"/>
      <c r="Q36"/>
      <c r="R36"/>
      <c r="S36"/>
      <c r="T36"/>
      <c r="U36"/>
      <c r="V36"/>
      <c r="Y36" s="74"/>
      <c r="Z36" s="74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84"/>
      <c r="H37" s="58">
        <f>ROUND(IF(I29=0,0,VLOOKUP($P$3,'[1]Mit-1'!$A$5:$AD$19,12,FALSE)),2)</f>
        <v>0</v>
      </c>
      <c r="I37" s="570"/>
      <c r="J37" s="410">
        <v>19</v>
      </c>
      <c r="K37" s="542"/>
      <c r="L37" s="543"/>
      <c r="M37" s="543"/>
      <c r="N37" s="543"/>
      <c r="O37" s="544"/>
      <c r="P37" s="74"/>
      <c r="Q37"/>
      <c r="R37"/>
      <c r="S37"/>
      <c r="T37"/>
      <c r="U37"/>
      <c r="V37"/>
      <c r="Y37" s="74"/>
      <c r="Z37" s="74"/>
    </row>
    <row r="38" spans="1:26" ht="12" customHeight="1" x14ac:dyDescent="0.2">
      <c r="A38" s="153" t="s">
        <v>113</v>
      </c>
      <c r="B38" s="83"/>
      <c r="C38" s="83"/>
      <c r="D38" s="83"/>
      <c r="E38" s="83"/>
      <c r="F38" s="83"/>
      <c r="G38" s="84"/>
      <c r="H38" s="334">
        <f ca="1">IF(SUM(I29:I37)-H37&lt;0,0,SUM(I29:I36)-H37)</f>
        <v>0</v>
      </c>
      <c r="I38" s="227"/>
      <c r="J38" s="411">
        <v>20</v>
      </c>
      <c r="K38" s="542"/>
      <c r="L38" s="543"/>
      <c r="M38" s="543"/>
      <c r="N38" s="543"/>
      <c r="O38" s="544"/>
      <c r="P38" s="74"/>
      <c r="Q38"/>
      <c r="R38"/>
      <c r="S38"/>
      <c r="T38"/>
      <c r="U38"/>
      <c r="V38"/>
      <c r="Y38" s="74"/>
      <c r="Z38" s="74"/>
    </row>
    <row r="39" spans="1:26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6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2" t="s">
        <v>141</v>
      </c>
      <c r="B43" s="301"/>
      <c r="C43" s="83"/>
      <c r="D43" s="302"/>
      <c r="E43" s="711"/>
      <c r="F43" s="712"/>
      <c r="G43" s="303"/>
      <c r="H43" s="304" t="s">
        <v>33</v>
      </c>
      <c r="I43" s="222"/>
      <c r="J43" s="410">
        <v>25</v>
      </c>
      <c r="K43" s="542"/>
      <c r="L43" s="543"/>
      <c r="M43" s="543"/>
      <c r="N43" s="543"/>
      <c r="O43" s="544"/>
      <c r="P43" s="74"/>
      <c r="Q43" s="121" t="s">
        <v>0</v>
      </c>
      <c r="R43" s="122" t="s">
        <v>1</v>
      </c>
      <c r="S43" s="630"/>
      <c r="T43" s="634"/>
      <c r="U43" s="626"/>
      <c r="V43" s="88"/>
      <c r="W43" s="74"/>
      <c r="X43" s="74"/>
      <c r="Y43" s="74"/>
      <c r="Z43" s="74"/>
    </row>
    <row r="44" spans="1:26" ht="12" customHeight="1" x14ac:dyDescent="0.2">
      <c r="A44" s="148" t="s">
        <v>114</v>
      </c>
      <c r="B44" s="92"/>
      <c r="C44" s="87"/>
      <c r="D44" s="62"/>
      <c r="E44" s="646"/>
      <c r="F44" s="647"/>
      <c r="G44" s="93"/>
      <c r="H44" s="537"/>
      <c r="I44" s="229">
        <f>-H44</f>
        <v>0</v>
      </c>
      <c r="J44" s="411">
        <v>26</v>
      </c>
      <c r="K44" s="542"/>
      <c r="L44" s="543"/>
      <c r="M44" s="543"/>
      <c r="N44" s="543"/>
      <c r="O44" s="544"/>
      <c r="P44" s="74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88"/>
      <c r="W44" s="74"/>
      <c r="X44" s="74"/>
      <c r="Y44" s="74"/>
      <c r="Z44" s="74"/>
    </row>
    <row r="45" spans="1:26" s="64" customFormat="1" ht="12" customHeight="1" x14ac:dyDescent="0.2">
      <c r="A45" s="159" t="s">
        <v>115</v>
      </c>
      <c r="B45" s="94"/>
      <c r="C45" s="162" t="s">
        <v>221</v>
      </c>
      <c r="D45" s="95">
        <v>11</v>
      </c>
      <c r="E45" s="646"/>
      <c r="F45" s="647"/>
      <c r="G45" s="99"/>
      <c r="H45" s="211">
        <f>IF(I29=0,0,VLOOKUP($P$3,'[1]Mit-2'!$A$65:$P$79,6,FALSE))</f>
        <v>0</v>
      </c>
      <c r="I45" s="226">
        <f>IF($I$9="",ROUND(IF($I$29=0,0,-H45/D45),2),-Steuern!J48)</f>
        <v>0</v>
      </c>
      <c r="J45" s="410">
        <v>27</v>
      </c>
      <c r="K45" s="542"/>
      <c r="L45" s="543"/>
      <c r="M45" s="543"/>
      <c r="N45" s="543"/>
      <c r="O45" s="544"/>
      <c r="P45" s="74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88"/>
      <c r="W45" s="74"/>
      <c r="X45" s="74"/>
      <c r="Y45" s="74"/>
      <c r="Z45" s="74"/>
    </row>
    <row r="46" spans="1:26" ht="12" customHeight="1" x14ac:dyDescent="0.2">
      <c r="A46" s="145" t="s">
        <v>142</v>
      </c>
      <c r="B46" s="97"/>
      <c r="C46" s="98"/>
      <c r="D46" s="86"/>
      <c r="E46" s="717"/>
      <c r="F46" s="718"/>
      <c r="G46" s="164"/>
      <c r="H46" s="165" t="s">
        <v>33</v>
      </c>
      <c r="I46" s="222"/>
      <c r="J46" s="411">
        <v>28</v>
      </c>
      <c r="K46" s="542"/>
      <c r="L46" s="543"/>
      <c r="M46" s="543"/>
      <c r="N46" s="543"/>
      <c r="O46" s="544"/>
      <c r="P46" s="74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88"/>
      <c r="W46" s="74"/>
      <c r="X46" s="74"/>
      <c r="Y46" s="74"/>
      <c r="Z46" s="74"/>
    </row>
    <row r="47" spans="1:26" ht="12" customHeight="1" x14ac:dyDescent="0.2">
      <c r="A47" s="148" t="s">
        <v>114</v>
      </c>
      <c r="B47" s="92"/>
      <c r="C47" s="87"/>
      <c r="D47" s="62"/>
      <c r="E47" s="646"/>
      <c r="F47" s="647"/>
      <c r="G47" s="93"/>
      <c r="H47" s="537"/>
      <c r="I47" s="223">
        <f>-H47</f>
        <v>0</v>
      </c>
      <c r="J47" s="410">
        <v>29</v>
      </c>
      <c r="K47" s="542"/>
      <c r="L47" s="543"/>
      <c r="M47" s="543"/>
      <c r="N47" s="543"/>
      <c r="O47" s="544"/>
      <c r="P47" s="64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65"/>
      <c r="W47" s="64"/>
      <c r="X47" s="64"/>
      <c r="Y47" s="64"/>
      <c r="Z47" s="64"/>
    </row>
    <row r="48" spans="1:26" ht="12" customHeight="1" x14ac:dyDescent="0.2">
      <c r="A48" s="317" t="s">
        <v>115</v>
      </c>
      <c r="B48" s="318"/>
      <c r="C48" s="319" t="s">
        <v>50</v>
      </c>
      <c r="D48" s="320">
        <v>11</v>
      </c>
      <c r="E48" s="715"/>
      <c r="F48" s="716"/>
      <c r="G48" s="321"/>
      <c r="H48" s="450">
        <f>IF(I29=0,0,VLOOKUP($P$3,'[1]Mit-2'!$A$65:$AD$79,20,FALSE))</f>
        <v>0</v>
      </c>
      <c r="I48" s="226">
        <f>IF($I$9="",ROUND(IF($I$29=0,0,-H48/D48),2),-Steuern!N47)</f>
        <v>0</v>
      </c>
      <c r="J48" s="411">
        <v>30</v>
      </c>
      <c r="K48" s="542"/>
      <c r="L48" s="543"/>
      <c r="M48" s="543"/>
      <c r="N48" s="543"/>
      <c r="O48" s="544"/>
      <c r="P48" s="64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65"/>
      <c r="W48" s="64"/>
      <c r="X48" s="64"/>
      <c r="Y48" s="64"/>
      <c r="Z48" s="64"/>
    </row>
    <row r="49" spans="1:26" ht="12" customHeight="1" x14ac:dyDescent="0.2">
      <c r="A49" s="159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244</v>
      </c>
      <c r="H49" s="333">
        <v>9</v>
      </c>
      <c r="I49" s="518">
        <f>IF($I$9="",ROUND(IF($I$29=0,0,-D49/H49),2),-Steuern!R48)</f>
        <v>0</v>
      </c>
      <c r="J49" s="416">
        <v>31</v>
      </c>
      <c r="K49" s="542"/>
      <c r="L49" s="543"/>
      <c r="M49" s="543"/>
      <c r="N49" s="543"/>
      <c r="O49" s="544"/>
      <c r="P49" s="64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65"/>
      <c r="W49" s="64"/>
      <c r="X49" s="64"/>
      <c r="Y49" s="64"/>
      <c r="Z49" s="64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27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74"/>
      <c r="Q50" s="297" t="s">
        <v>8</v>
      </c>
      <c r="R50" s="298"/>
      <c r="S50" s="117"/>
      <c r="T50" s="118"/>
      <c r="U50" s="119">
        <f ca="1">ROUND(SUM(U44:U47),2)</f>
        <v>0</v>
      </c>
      <c r="V50" s="88"/>
      <c r="W50" s="74"/>
      <c r="X50" s="74"/>
      <c r="Y50" s="74"/>
      <c r="Z50" s="74"/>
    </row>
    <row r="51" spans="1:26" ht="12" customHeight="1" x14ac:dyDescent="0.2">
      <c r="A51" s="148" t="s">
        <v>117</v>
      </c>
      <c r="B51" s="100"/>
      <c r="C51" s="80">
        <f>IF(I29=0,0,Steuern!J79)</f>
        <v>0</v>
      </c>
      <c r="D51" s="80">
        <f>IF(I29=0,0,Steuern!L79)</f>
        <v>0</v>
      </c>
      <c r="E51" s="646">
        <f>IF(I29=0,0,Steuern!N79)</f>
        <v>0</v>
      </c>
      <c r="F51" s="647"/>
      <c r="G51" s="80">
        <f>IF(I29=0,0,Steuern!P79)</f>
        <v>0</v>
      </c>
      <c r="H51" s="101">
        <f>IF(I29=0,0,Steuern!R79)</f>
        <v>0</v>
      </c>
      <c r="I51" s="227"/>
      <c r="J51" s="415"/>
      <c r="K51" s="636"/>
      <c r="L51" s="632"/>
      <c r="M51" s="632"/>
      <c r="N51" s="632"/>
      <c r="O51" s="638"/>
      <c r="P51" s="74"/>
      <c r="Q51" s="88"/>
      <c r="R51" s="88"/>
      <c r="S51" s="88"/>
      <c r="T51" s="88"/>
      <c r="U51" s="88"/>
      <c r="V51" s="88"/>
      <c r="W51" s="74"/>
      <c r="X51" s="74"/>
      <c r="Y51" s="74"/>
      <c r="Z51" s="74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74"/>
      <c r="Q52" s="88"/>
      <c r="R52" s="88"/>
      <c r="S52" s="88"/>
      <c r="T52" s="96"/>
      <c r="U52" s="88"/>
      <c r="V52" s="88"/>
      <c r="W52" s="74"/>
      <c r="X52" s="74"/>
      <c r="Y52" s="74"/>
      <c r="Z52" s="74"/>
    </row>
    <row r="53" spans="1:26" ht="12" customHeight="1" x14ac:dyDescent="0.2">
      <c r="A53" s="178" t="s">
        <v>119</v>
      </c>
      <c r="B53" s="105"/>
      <c r="C53" s="105"/>
      <c r="D53" s="105"/>
      <c r="E53" s="105"/>
      <c r="F53" s="105"/>
      <c r="G53" s="105"/>
      <c r="H53" s="105"/>
      <c r="I53" s="225">
        <f ca="1">SUM(I29:I52)</f>
        <v>0</v>
      </c>
      <c r="J53" s="412"/>
      <c r="K53" s="66"/>
      <c r="L53" s="66"/>
      <c r="M53" s="66"/>
      <c r="N53" s="66"/>
      <c r="O53" s="196"/>
      <c r="P53" s="106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68"/>
      <c r="W53" s="106"/>
      <c r="X53" s="106"/>
      <c r="Y53" s="106"/>
      <c r="Z53" s="106"/>
    </row>
    <row r="54" spans="1:26" ht="12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6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64"/>
      <c r="W54" s="64"/>
      <c r="X54" s="64"/>
    </row>
    <row r="55" spans="1:26" ht="15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64"/>
      <c r="W55" s="64"/>
      <c r="X55" s="64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ROUND(C54*'[1]Mit-2'!$F$84%,2)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106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106"/>
      <c r="W57" s="106"/>
      <c r="X57" s="106"/>
      <c r="Y57" s="106"/>
      <c r="Z57" s="106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106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106"/>
      <c r="W58" s="106"/>
      <c r="X58" s="106"/>
      <c r="Y58" s="106"/>
      <c r="Z58" s="106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713">
        <f>-'03'!H59</f>
        <v>0</v>
      </c>
      <c r="F59" s="714"/>
      <c r="G59" s="174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106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106"/>
      <c r="W59" s="106"/>
      <c r="X59" s="106"/>
      <c r="Y59" s="106"/>
      <c r="Z59" s="106"/>
    </row>
    <row r="60" spans="1:26" ht="12" customHeight="1" x14ac:dyDescent="0.2">
      <c r="A60" s="429" t="s">
        <v>43</v>
      </c>
      <c r="B60" s="430"/>
      <c r="C60" s="430"/>
      <c r="D60" s="430"/>
      <c r="E60" s="430"/>
      <c r="F60" s="430"/>
      <c r="G60" s="430"/>
      <c r="H60" s="430"/>
      <c r="I60" s="528">
        <f>IF(I29=0,0,ROUNDUP(Q61,0))</f>
        <v>0</v>
      </c>
      <c r="J60" s="533"/>
      <c r="K60" s="534"/>
      <c r="L60" s="534"/>
      <c r="M60" s="534"/>
      <c r="N60" s="701"/>
      <c r="O60" s="702"/>
      <c r="P60" s="74"/>
      <c r="Q60" s="297" t="s">
        <v>8</v>
      </c>
      <c r="R60" s="298"/>
      <c r="S60" s="117"/>
      <c r="T60" s="118"/>
      <c r="U60" s="120">
        <f>ROUND(SUM(U55:U59),2)</f>
        <v>0</v>
      </c>
      <c r="V60" s="74"/>
      <c r="W60" s="74"/>
      <c r="X60" s="74"/>
      <c r="Y60" s="74"/>
      <c r="Z60" s="74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64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Q64" s="205"/>
    </row>
    <row r="65" spans="1:6" x14ac:dyDescent="0.2">
      <c r="A65" s="108" t="str">
        <f>'[1]Beschr-Descr.'!A2</f>
        <v>Descrizione elementi di retribuzione</v>
      </c>
      <c r="F65" s="108" t="s">
        <v>3</v>
      </c>
    </row>
    <row r="66" spans="1:6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</row>
    <row r="67" spans="1:6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</row>
    <row r="68" spans="1:6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</row>
    <row r="69" spans="1:6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</row>
    <row r="70" spans="1:6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</row>
    <row r="71" spans="1:6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</row>
    <row r="72" spans="1:6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</row>
    <row r="73" spans="1:6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</row>
    <row r="74" spans="1:6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</row>
    <row r="75" spans="1:6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</row>
    <row r="76" spans="1:6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</row>
    <row r="77" spans="1:6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</row>
    <row r="78" spans="1:6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</row>
    <row r="79" spans="1:6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</row>
    <row r="80" spans="1:6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</row>
    <row r="81" spans="1:5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</row>
    <row r="82" spans="1:5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</row>
    <row r="83" spans="1:5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</row>
    <row r="84" spans="1:5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</row>
    <row r="85" spans="1:5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</row>
    <row r="86" spans="1:5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</row>
    <row r="87" spans="1:5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</row>
    <row r="88" spans="1:5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</row>
    <row r="89" spans="1:5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</row>
    <row r="90" spans="1:5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</row>
    <row r="91" spans="1:5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</row>
    <row r="92" spans="1:5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</row>
    <row r="93" spans="1:5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</row>
    <row r="94" spans="1:5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</row>
    <row r="95" spans="1:5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</row>
    <row r="96" spans="1:5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</row>
    <row r="97" spans="1:5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</row>
    <row r="98" spans="1:5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</row>
    <row r="99" spans="1:5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</row>
    <row r="100" spans="1:5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</row>
    <row r="101" spans="1:5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</row>
    <row r="102" spans="1:5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</row>
    <row r="103" spans="1:5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</row>
    <row r="104" spans="1:5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</row>
    <row r="105" spans="1:5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</row>
    <row r="106" spans="1:5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</row>
    <row r="107" spans="1:5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</row>
    <row r="108" spans="1:5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</row>
    <row r="109" spans="1:5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</row>
    <row r="110" spans="1:5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</row>
    <row r="111" spans="1:5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</row>
    <row r="112" spans="1:5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</row>
    <row r="113" spans="1:5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</row>
    <row r="114" spans="1:5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</row>
    <row r="115" spans="1:5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</row>
    <row r="116" spans="1:5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</row>
    <row r="117" spans="1:5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</row>
    <row r="118" spans="1:5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</row>
    <row r="119" spans="1:5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</row>
    <row r="120" spans="1:5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</row>
    <row r="121" spans="1:5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</row>
    <row r="122" spans="1:5" x14ac:dyDescent="0.2">
      <c r="A122" s="63">
        <f>'[1]Beschr-Descr.'!A63</f>
        <v>0</v>
      </c>
    </row>
    <row r="123" spans="1:5" x14ac:dyDescent="0.2">
      <c r="A123" s="63">
        <f>'[1]Beschr-Descr.'!A64</f>
        <v>0</v>
      </c>
    </row>
    <row r="124" spans="1:5" x14ac:dyDescent="0.2">
      <c r="A124" s="63">
        <f>'[1]Beschr-Descr.'!A65</f>
        <v>0</v>
      </c>
    </row>
    <row r="125" spans="1:5" x14ac:dyDescent="0.2">
      <c r="A125" s="63">
        <f>'[1]Beschr-Descr.'!A66</f>
        <v>0</v>
      </c>
    </row>
    <row r="126" spans="1:5" x14ac:dyDescent="0.2">
      <c r="A126" s="63">
        <f>'[1]Beschr-Descr.'!A67</f>
        <v>0</v>
      </c>
    </row>
    <row r="127" spans="1:5" x14ac:dyDescent="0.2">
      <c r="A127" s="63">
        <f>'[1]Beschr-Descr.'!A68</f>
        <v>0</v>
      </c>
    </row>
    <row r="128" spans="1:5" x14ac:dyDescent="0.2">
      <c r="A128" s="63">
        <f>'[1]Beschr-Descr.'!A69</f>
        <v>0</v>
      </c>
    </row>
    <row r="129" spans="1:1" x14ac:dyDescent="0.2">
      <c r="A129" s="63">
        <f>'[1]Beschr-Descr.'!A70</f>
        <v>0</v>
      </c>
    </row>
    <row r="130" spans="1:1" x14ac:dyDescent="0.2">
      <c r="A130" s="63">
        <f>'[1]Beschr-Descr.'!A71</f>
        <v>0</v>
      </c>
    </row>
    <row r="131" spans="1:1" x14ac:dyDescent="0.2">
      <c r="A131" s="63">
        <f>'[1]Beschr-Descr.'!A72</f>
        <v>0</v>
      </c>
    </row>
    <row r="132" spans="1:1" x14ac:dyDescent="0.2">
      <c r="A132" s="63">
        <f>'[1]Beschr-Descr.'!A73</f>
        <v>0</v>
      </c>
    </row>
    <row r="133" spans="1:1" x14ac:dyDescent="0.2">
      <c r="A133" s="63">
        <f>'[1]Beschr-Descr.'!A74</f>
        <v>0</v>
      </c>
    </row>
    <row r="134" spans="1:1" x14ac:dyDescent="0.2">
      <c r="A134" s="63">
        <f>'[1]Beschr-Descr.'!A75</f>
        <v>0</v>
      </c>
    </row>
    <row r="135" spans="1:1" x14ac:dyDescent="0.2">
      <c r="A135" s="63">
        <f>'[1]Beschr-Descr.'!A76</f>
        <v>0</v>
      </c>
    </row>
    <row r="136" spans="1:1" x14ac:dyDescent="0.2">
      <c r="A136" s="63">
        <f>'[1]Beschr-Descr.'!A77</f>
        <v>0</v>
      </c>
    </row>
    <row r="137" spans="1:1" x14ac:dyDescent="0.2">
      <c r="A137" s="63">
        <f>'[1]Beschr-Descr.'!A78</f>
        <v>0</v>
      </c>
    </row>
    <row r="138" spans="1:1" x14ac:dyDescent="0.2">
      <c r="A138" s="63">
        <f>'[1]Beschr-Descr.'!A79</f>
        <v>0</v>
      </c>
    </row>
    <row r="139" spans="1:1" x14ac:dyDescent="0.2">
      <c r="A139" s="63">
        <f>'[1]Beschr-Descr.'!A80</f>
        <v>0</v>
      </c>
    </row>
    <row r="140" spans="1:1" x14ac:dyDescent="0.2">
      <c r="A140" s="63">
        <f>'[1]Beschr-Descr.'!A81</f>
        <v>0</v>
      </c>
    </row>
    <row r="141" spans="1:1" x14ac:dyDescent="0.2">
      <c r="A141" s="63">
        <f>'[1]Beschr-Descr.'!A82</f>
        <v>0</v>
      </c>
    </row>
    <row r="142" spans="1:1" x14ac:dyDescent="0.2">
      <c r="A142" s="63">
        <f>'[1]Beschr-Descr.'!A83</f>
        <v>0</v>
      </c>
    </row>
    <row r="143" spans="1:1" x14ac:dyDescent="0.2">
      <c r="A143" s="63">
        <f>'[1]Beschr-Descr.'!A84</f>
        <v>0</v>
      </c>
    </row>
    <row r="144" spans="1:1" x14ac:dyDescent="0.2">
      <c r="A144" s="63">
        <f>'[1]Beschr-Descr.'!A85</f>
        <v>0</v>
      </c>
    </row>
    <row r="145" spans="1:1" x14ac:dyDescent="0.2">
      <c r="A145" s="63">
        <f>'[1]Beschr-Descr.'!A86</f>
        <v>0</v>
      </c>
    </row>
    <row r="146" spans="1:1" x14ac:dyDescent="0.2">
      <c r="A146" s="63">
        <f>'[1]Beschr-Descr.'!A87</f>
        <v>0</v>
      </c>
    </row>
    <row r="147" spans="1:1" x14ac:dyDescent="0.2">
      <c r="A147" s="63">
        <f>'[1]Beschr-Descr.'!A88</f>
        <v>0</v>
      </c>
    </row>
    <row r="148" spans="1:1" x14ac:dyDescent="0.2">
      <c r="A148" s="63">
        <f>'[1]Beschr-Descr.'!A89</f>
        <v>0</v>
      </c>
    </row>
    <row r="149" spans="1:1" x14ac:dyDescent="0.2">
      <c r="A149" s="63">
        <f>'[1]Beschr-Descr.'!A90</f>
        <v>0</v>
      </c>
    </row>
    <row r="150" spans="1:1" x14ac:dyDescent="0.2">
      <c r="A150" s="63">
        <f>'[1]Beschr-Descr.'!A91</f>
        <v>0</v>
      </c>
    </row>
    <row r="151" spans="1:1" x14ac:dyDescent="0.2">
      <c r="A151" s="63">
        <f>'[1]Beschr-Descr.'!A92</f>
        <v>0</v>
      </c>
    </row>
    <row r="152" spans="1:1" x14ac:dyDescent="0.2">
      <c r="A152" s="63">
        <f>'[1]Beschr-Descr.'!A93</f>
        <v>0</v>
      </c>
    </row>
    <row r="153" spans="1:1" x14ac:dyDescent="0.2">
      <c r="A153" s="63">
        <f>'[1]Beschr-Descr.'!A94</f>
        <v>0</v>
      </c>
    </row>
    <row r="154" spans="1:1" x14ac:dyDescent="0.2">
      <c r="A154" s="63">
        <f>'[1]Beschr-Descr.'!A95</f>
        <v>0</v>
      </c>
    </row>
    <row r="155" spans="1:1" x14ac:dyDescent="0.2">
      <c r="A155" s="63">
        <f>'[1]Beschr-Descr.'!A96</f>
        <v>0</v>
      </c>
    </row>
    <row r="156" spans="1:1" x14ac:dyDescent="0.2">
      <c r="A156" s="63">
        <f>'[1]Beschr-Descr.'!A97</f>
        <v>0</v>
      </c>
    </row>
    <row r="157" spans="1:1" x14ac:dyDescent="0.2">
      <c r="A157" s="63">
        <f>'[1]Beschr-Descr.'!A98</f>
        <v>0</v>
      </c>
    </row>
    <row r="158" spans="1:1" x14ac:dyDescent="0.2">
      <c r="A158" s="63">
        <f>'[1]Beschr-Descr.'!A99</f>
        <v>0</v>
      </c>
    </row>
    <row r="159" spans="1:1" x14ac:dyDescent="0.2">
      <c r="A159" s="63">
        <f>'[1]Beschr-Descr.'!A100</f>
        <v>0</v>
      </c>
    </row>
    <row r="160" spans="1:1" x14ac:dyDescent="0.2">
      <c r="A160" s="63">
        <f>'[1]Beschr-Descr.'!A101</f>
        <v>0</v>
      </c>
    </row>
    <row r="161" spans="1:1" x14ac:dyDescent="0.2">
      <c r="A161" s="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590550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6"/>
  <sheetViews>
    <sheetView showGridLines="0" showZeros="0" topLeftCell="A22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.7109375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10.140625" customWidth="1"/>
    <col min="23" max="24" width="10.7109375" customWidth="1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[1]Firma!$A$14</f>
        <v>45047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24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0"/>
      <c r="H2" s="290"/>
      <c r="I2" s="291"/>
      <c r="J2" s="405"/>
      <c r="K2" s="287"/>
      <c r="L2" s="287"/>
      <c r="M2" s="287"/>
      <c r="N2" s="286"/>
      <c r="O2" s="406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3"/>
      <c r="Q5" s="681" t="s">
        <v>136</v>
      </c>
      <c r="R5" s="682"/>
      <c r="S5" s="68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684"/>
      <c r="R6" s="685"/>
      <c r="S6" s="686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Q7" s="687" t="s">
        <v>134</v>
      </c>
      <c r="R7" s="688"/>
      <c r="S7" s="689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VLOOKUP($P$3,'[1]Mit-2'!$A$5:$P$19,6,FALSE)</f>
        <v>2</v>
      </c>
      <c r="H8" s="133" t="s">
        <v>231</v>
      </c>
      <c r="I8" s="221">
        <f>VLOOKUP($P$3,'[1]Mit-2'!$A$46:$AD$60,20,FALSE)</f>
        <v>2</v>
      </c>
      <c r="J8" s="610" t="s">
        <v>226</v>
      </c>
      <c r="K8" s="611"/>
      <c r="L8" s="611"/>
      <c r="M8" s="611"/>
      <c r="N8" s="611"/>
      <c r="O8" s="612"/>
      <c r="P8" s="3"/>
      <c r="Q8" s="687"/>
      <c r="R8" s="688"/>
      <c r="S8" s="689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VLOOKUP($P$3,'[1]Mit-2'!$A$5:$AD$19,20,FALSE)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3"/>
      <c r="Q9" s="284"/>
      <c r="R9" s="560"/>
      <c r="S9" s="67"/>
      <c r="T9" s="390">
        <v>31</v>
      </c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673" t="s">
        <v>207</v>
      </c>
      <c r="R10" s="674"/>
      <c r="S10" s="675"/>
      <c r="T10" s="3"/>
      <c r="U10" s="3"/>
      <c r="V10" s="3"/>
      <c r="W10" s="3"/>
      <c r="X10" s="3"/>
      <c r="Y10" s="3"/>
      <c r="Z10" s="3"/>
    </row>
    <row r="11" spans="1:26" ht="13.9" customHeight="1" x14ac:dyDescent="0.2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6"/>
      <c r="Q11" s="676"/>
      <c r="R11" s="677"/>
      <c r="S11" s="678"/>
      <c r="T11" s="6"/>
      <c r="U11" s="6"/>
      <c r="V11" s="6"/>
      <c r="W11" s="6"/>
      <c r="X11" s="6"/>
      <c r="Y11" s="6"/>
      <c r="Z11" s="6"/>
    </row>
    <row r="12" spans="1:26" x14ac:dyDescent="0.2">
      <c r="A12" s="250">
        <f>VLOOKUP($G$8,'[1]Lohntab-Tab-retr.'!$A$7:$O$15,6,FALSE)</f>
        <v>1477.83</v>
      </c>
      <c r="B12" s="251">
        <f>VLOOKUP($G$8,'[1]Lohntab-Tab-retr.'!$A$21:$O$29,6,FALSE)</f>
        <v>532.54</v>
      </c>
      <c r="C12" s="251">
        <f>I8*VLOOKUP($G$8,'[1]Lohntab-Tab-retr.'!$A$63:$O$71,6,FALSE)</f>
        <v>45.66</v>
      </c>
      <c r="D12" s="251">
        <f>VLOOKUP($G$8,'[1]Lohntab-Tab-retr.'!$A$35:$O$43,6,FALSE)</f>
        <v>0</v>
      </c>
      <c r="E12" s="695">
        <f>VLOOKUP($G$8,'[1]Lohntab-Tab-retr.'!$A$49:$O$57,6,FALSE)</f>
        <v>8</v>
      </c>
      <c r="F12" s="695"/>
      <c r="G12" s="251">
        <f>VLOOKUP($P$3,'[1]Mit-2'!$A$24:$P$38,7,FALSE)</f>
        <v>300</v>
      </c>
      <c r="H12" s="251">
        <f>VLOOKUP($G$8,'[1]Lohntab-Tab-retr.'!$A$77:$O$85,6,FALSE)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9" customHeight="1" x14ac:dyDescent="0.2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9" customHeight="1" x14ac:dyDescent="0.2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">
      <c r="A16" s="572">
        <f>'04'!A16+(VLOOKUP($P$3,'[1]Mit-2'!$A$90:$P$104,7,FALSE))*G9%</f>
        <v>14.43</v>
      </c>
      <c r="B16" s="569">
        <f>M50</f>
        <v>0</v>
      </c>
      <c r="C16" s="569">
        <f>A16-B16</f>
        <v>14.43</v>
      </c>
      <c r="D16" s="569">
        <f>'04'!D16+(VLOOKUP($P$3,'[1]Mit-2'!$A$90:$AD$104,21,FALSE))*G9%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63" customFormat="1" ht="16.899999999999999" customHeight="1" x14ac:dyDescent="0.2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72"/>
      <c r="V18" s="73"/>
      <c r="W18" s="73"/>
      <c r="X18" s="73"/>
      <c r="Y18" s="72"/>
      <c r="Z18" s="72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  <c r="W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9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1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3"/>
      <c r="Z35" s="3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15"/>
      <c r="H37" s="58">
        <f>ROUND(IF(I29=0,0,VLOOKUP($P$3,'[1]Mit-1'!$A$5:$AD$19,12,FALSE)),2)</f>
        <v>0</v>
      </c>
      <c r="I37" s="570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99" t="s">
        <v>113</v>
      </c>
      <c r="B38" s="83"/>
      <c r="C38" s="83"/>
      <c r="D38" s="83"/>
      <c r="E38" s="83"/>
      <c r="F38" s="83"/>
      <c r="G38" s="15"/>
      <c r="H38" s="334">
        <f ca="1">IF(SUM(I29:I37)-H37&lt;0,0,SUM(I29:I36)-H37)</f>
        <v>0</v>
      </c>
      <c r="I38" s="227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6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2" t="s">
        <v>141</v>
      </c>
      <c r="B43" s="301"/>
      <c r="C43" s="83"/>
      <c r="D43" s="302"/>
      <c r="E43" s="711"/>
      <c r="F43" s="712"/>
      <c r="G43" s="303"/>
      <c r="H43" s="304" t="s">
        <v>33</v>
      </c>
      <c r="I43" s="239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48" t="s">
        <v>114</v>
      </c>
      <c r="B44" s="92"/>
      <c r="C44" s="11"/>
      <c r="D44" s="20"/>
      <c r="E44" s="719"/>
      <c r="F44" s="720"/>
      <c r="G44" s="93"/>
      <c r="H44" s="537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ht="12" customHeight="1" x14ac:dyDescent="0.2">
      <c r="A45" s="159" t="s">
        <v>115</v>
      </c>
      <c r="B45" s="94"/>
      <c r="C45" s="162" t="s">
        <v>222</v>
      </c>
      <c r="D45" s="23">
        <v>11</v>
      </c>
      <c r="E45" s="646"/>
      <c r="F45" s="647"/>
      <c r="G45" s="99"/>
      <c r="H45" s="28">
        <f>IF(I29=0,0,VLOOKUP($P$3,'[1]Mit-2'!$A$65:$P$79,7,FALSE))</f>
        <v>0</v>
      </c>
      <c r="I45" s="226">
        <f>IF($I$9="",ROUND(IF(I29=0,0,-H45/D45),2),-Steuern!J48)</f>
        <v>0</v>
      </c>
      <c r="J45" s="410">
        <v>27</v>
      </c>
      <c r="K45" s="542"/>
      <c r="L45" s="543"/>
      <c r="M45" s="543"/>
      <c r="N45" s="543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s="3" customFormat="1" ht="12" customHeight="1" x14ac:dyDescent="0.2">
      <c r="A46" s="145" t="s">
        <v>142</v>
      </c>
      <c r="B46" s="97"/>
      <c r="C46" s="98"/>
      <c r="D46" s="16"/>
      <c r="E46" s="717"/>
      <c r="F46" s="718"/>
      <c r="G46" s="164"/>
      <c r="H46" s="165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48" t="s">
        <v>114</v>
      </c>
      <c r="B47" s="92"/>
      <c r="C47" s="87"/>
      <c r="D47" s="20"/>
      <c r="E47" s="646"/>
      <c r="F47" s="647"/>
      <c r="G47" s="93"/>
      <c r="H47" s="537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9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2"/>
      <c r="W47" s="9"/>
      <c r="X47" s="9"/>
      <c r="Y47" s="9"/>
      <c r="Z47" s="9"/>
    </row>
    <row r="48" spans="1:26" ht="12" customHeight="1" x14ac:dyDescent="0.2">
      <c r="A48" s="317" t="s">
        <v>115</v>
      </c>
      <c r="B48" s="318"/>
      <c r="C48" s="319" t="s">
        <v>51</v>
      </c>
      <c r="D48" s="325">
        <v>11</v>
      </c>
      <c r="E48" s="715"/>
      <c r="F48" s="716"/>
      <c r="G48" s="321"/>
      <c r="H48" s="450">
        <f>IF(I29=0,0,VLOOKUP($P$3,'[1]Mit-2'!$A$65:$AD$79,21,FALSE))</f>
        <v>0</v>
      </c>
      <c r="I48" s="226">
        <f>IF($I$9="",ROUND(IF(I29=0,0,-H48/D48),2),-Steuern!N48)</f>
        <v>0</v>
      </c>
      <c r="J48" s="411">
        <v>30</v>
      </c>
      <c r="K48" s="542"/>
      <c r="L48" s="543"/>
      <c r="M48" s="543"/>
      <c r="N48" s="543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59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245</v>
      </c>
      <c r="H49" s="333">
        <v>9</v>
      </c>
      <c r="I49" s="518">
        <f>IF($I$9="",ROUND(IF($I$29=0,0,-D49/H49),2),-Steuern!R49)</f>
        <v>0</v>
      </c>
      <c r="J49" s="416">
        <v>31</v>
      </c>
      <c r="K49" s="542"/>
      <c r="L49" s="543"/>
      <c r="M49" s="543"/>
      <c r="N49" s="543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3"/>
      <c r="Q50" s="297" t="s">
        <v>8</v>
      </c>
      <c r="R50" s="298"/>
      <c r="S50" s="117"/>
      <c r="T50" s="118"/>
      <c r="U50" s="119">
        <f ca="1">ROUND(SUM(U44:U47),2)</f>
        <v>0</v>
      </c>
      <c r="V50" s="1"/>
      <c r="W50" s="3"/>
      <c r="X50" s="3"/>
      <c r="Y50" s="3"/>
      <c r="Z50" s="3"/>
    </row>
    <row r="51" spans="1:26" ht="12" customHeight="1" x14ac:dyDescent="0.2">
      <c r="A51" s="148" t="s">
        <v>117</v>
      </c>
      <c r="B51" s="100"/>
      <c r="C51" s="80">
        <f>IF(I29=0,0,Steuern!J80)</f>
        <v>0</v>
      </c>
      <c r="D51" s="80">
        <f>IF(I29=0,0,Steuern!L80)</f>
        <v>0</v>
      </c>
      <c r="E51" s="646">
        <f>IF(I29=0,0,Steuern!N80)</f>
        <v>0</v>
      </c>
      <c r="F51" s="647"/>
      <c r="G51" s="80">
        <f>IF(I29=0,0,Steuern!P80)</f>
        <v>0</v>
      </c>
      <c r="H51" s="101">
        <f>IF(I29=0,0,Steuern!R80)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105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9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12"/>
      <c r="W53" s="9"/>
      <c r="X53" s="9"/>
      <c r="Y53" s="9"/>
      <c r="Z53" s="9"/>
    </row>
    <row r="54" spans="1:26" ht="12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P54" s="5"/>
      <c r="Q54" s="121" t="s">
        <v>0</v>
      </c>
      <c r="R54" s="122" t="s">
        <v>1</v>
      </c>
      <c r="S54" s="630"/>
      <c r="T54" s="634"/>
      <c r="U54" s="626"/>
      <c r="V54" s="8"/>
      <c r="W54" s="5"/>
      <c r="X54" s="5"/>
      <c r="Y54" s="5"/>
      <c r="Z54" s="5"/>
    </row>
    <row r="55" spans="1:26" ht="15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3"/>
      <c r="W55" s="3"/>
      <c r="X55" s="3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ROUND(C54*'[1]Mit-2'!$G$84%,2)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  <c r="V56" s="3"/>
      <c r="W56" s="3"/>
      <c r="X56" s="3"/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713">
        <f>-'04'!H59</f>
        <v>0</v>
      </c>
      <c r="F59" s="714"/>
      <c r="G59" s="174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9" t="s">
        <v>43</v>
      </c>
      <c r="B60" s="430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5"/>
      <c r="Q60" s="297" t="s">
        <v>8</v>
      </c>
      <c r="R60" s="298"/>
      <c r="S60" s="117"/>
      <c r="T60" s="118"/>
      <c r="U60" s="120">
        <f>ROUND(SUM(U55:U59),2)</f>
        <v>0</v>
      </c>
      <c r="V60" s="5"/>
      <c r="W60" s="5"/>
      <c r="X60" s="5"/>
      <c r="Y60" s="5"/>
      <c r="Z60" s="5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3"/>
      <c r="K61" s="64"/>
      <c r="L61" s="64"/>
      <c r="M61" s="64"/>
      <c r="P61" s="9"/>
      <c r="Q61" s="205">
        <f ca="1">SUM(I53:I58,E59)</f>
        <v>0</v>
      </c>
      <c r="R61" s="9"/>
      <c r="S61" s="9"/>
      <c r="T61" s="9"/>
      <c r="U61" s="12"/>
      <c r="V61" s="9"/>
      <c r="W61" s="9"/>
      <c r="X61" s="9"/>
      <c r="Y61" s="9"/>
      <c r="Z61" s="9"/>
    </row>
    <row r="62" spans="1:26" ht="18" customHeight="1" x14ac:dyDescent="0.2">
      <c r="A62" s="63"/>
      <c r="B62" s="63"/>
      <c r="C62" s="63"/>
      <c r="D62" s="63"/>
      <c r="E62" s="63"/>
      <c r="F62" s="63"/>
      <c r="G62" s="63"/>
      <c r="H62" s="63"/>
      <c r="Q62" s="205"/>
    </row>
    <row r="63" spans="1:26" ht="15.75" customHeight="1" x14ac:dyDescent="0.2">
      <c r="A63" s="63"/>
      <c r="B63" s="63"/>
      <c r="C63" s="63"/>
      <c r="D63" s="63"/>
      <c r="E63" s="63"/>
      <c r="F63" s="63"/>
      <c r="G63" s="63"/>
      <c r="H63" s="63"/>
      <c r="Q63" s="205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H64" s="63"/>
      <c r="Q64" s="205"/>
    </row>
    <row r="65" spans="1:8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  <c r="H65" s="63"/>
    </row>
    <row r="66" spans="1:8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  <c r="H66" s="63"/>
    </row>
    <row r="67" spans="1:8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  <c r="H67" s="63"/>
    </row>
    <row r="68" spans="1:8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  <c r="H68" s="63"/>
    </row>
    <row r="69" spans="1:8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  <c r="H69" s="63"/>
    </row>
    <row r="70" spans="1:8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  <c r="H70" s="63"/>
    </row>
    <row r="71" spans="1:8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  <c r="H71" s="63"/>
    </row>
    <row r="72" spans="1:8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  <c r="H72" s="63"/>
    </row>
    <row r="73" spans="1:8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  <c r="H73" s="63"/>
    </row>
    <row r="74" spans="1:8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  <c r="H74" s="63"/>
    </row>
    <row r="75" spans="1:8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  <c r="H75" s="63"/>
    </row>
    <row r="76" spans="1:8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  <c r="H76" s="63"/>
    </row>
    <row r="77" spans="1:8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  <c r="H77" s="63"/>
    </row>
    <row r="78" spans="1:8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  <c r="H78" s="63"/>
    </row>
    <row r="79" spans="1:8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  <c r="H79" s="63"/>
    </row>
    <row r="80" spans="1:8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  <c r="H80" s="63"/>
    </row>
    <row r="81" spans="1:8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  <c r="H81" s="63"/>
    </row>
    <row r="82" spans="1:8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  <c r="H82" s="63"/>
    </row>
    <row r="83" spans="1:8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  <c r="H83" s="63"/>
    </row>
    <row r="84" spans="1:8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  <c r="H84" s="63"/>
    </row>
    <row r="85" spans="1:8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  <c r="H85" s="63"/>
    </row>
    <row r="86" spans="1:8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  <c r="H86" s="63"/>
    </row>
    <row r="87" spans="1:8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  <c r="H87" s="63"/>
    </row>
    <row r="88" spans="1:8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  <c r="H88" s="63"/>
    </row>
    <row r="89" spans="1:8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  <c r="H89" s="63"/>
    </row>
    <row r="90" spans="1:8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  <c r="H90" s="63"/>
    </row>
    <row r="91" spans="1:8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  <c r="H91" s="63"/>
    </row>
    <row r="92" spans="1:8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  <c r="H92" s="63"/>
    </row>
    <row r="93" spans="1:8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  <c r="H93" s="63"/>
    </row>
    <row r="94" spans="1:8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  <c r="H94" s="63"/>
    </row>
    <row r="95" spans="1:8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  <c r="H95" s="63"/>
    </row>
    <row r="96" spans="1:8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  <c r="H96" s="63"/>
    </row>
    <row r="97" spans="1:8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  <c r="H97" s="63"/>
    </row>
    <row r="98" spans="1:8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  <c r="H98" s="63"/>
    </row>
    <row r="99" spans="1:8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  <c r="H99" s="63"/>
    </row>
    <row r="100" spans="1:8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  <c r="H100" s="63"/>
    </row>
    <row r="101" spans="1:8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  <c r="H101" s="63"/>
    </row>
    <row r="102" spans="1:8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  <c r="H102" s="63"/>
    </row>
    <row r="103" spans="1:8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  <c r="H103" s="63"/>
    </row>
    <row r="104" spans="1:8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  <c r="H104" s="63"/>
    </row>
    <row r="105" spans="1:8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  <c r="H105" s="63"/>
    </row>
    <row r="106" spans="1:8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  <c r="H106" s="63"/>
    </row>
    <row r="107" spans="1:8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  <c r="H107" s="63"/>
    </row>
    <row r="108" spans="1:8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  <c r="H108" s="63"/>
    </row>
    <row r="109" spans="1:8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  <c r="H109" s="63"/>
    </row>
    <row r="110" spans="1:8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  <c r="H110" s="63"/>
    </row>
    <row r="111" spans="1:8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  <c r="H111" s="63"/>
    </row>
    <row r="112" spans="1:8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  <c r="H112" s="63"/>
    </row>
    <row r="113" spans="1:8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  <c r="H113" s="63"/>
    </row>
    <row r="114" spans="1:8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  <c r="H114" s="63"/>
    </row>
    <row r="115" spans="1:8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  <c r="H115" s="63"/>
    </row>
    <row r="116" spans="1:8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  <c r="H116" s="63"/>
    </row>
    <row r="117" spans="1:8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  <c r="H117" s="63"/>
    </row>
    <row r="118" spans="1:8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  <c r="H118" s="63"/>
    </row>
    <row r="119" spans="1:8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  <c r="H119" s="63"/>
    </row>
    <row r="120" spans="1:8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  <c r="H120" s="63"/>
    </row>
    <row r="121" spans="1:8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  <c r="H121" s="63"/>
    </row>
    <row r="122" spans="1:8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  <c r="H122" s="63"/>
    </row>
    <row r="123" spans="1:8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  <c r="H123" s="63"/>
    </row>
    <row r="124" spans="1:8" x14ac:dyDescent="0.2">
      <c r="A124" s="63">
        <v>0</v>
      </c>
      <c r="B124" s="63"/>
      <c r="C124" s="63"/>
      <c r="D124" s="63"/>
      <c r="E124" s="63"/>
      <c r="F124" s="63"/>
      <c r="G124" s="63"/>
    </row>
    <row r="125" spans="1:8" x14ac:dyDescent="0.2">
      <c r="A125" s="63">
        <v>0</v>
      </c>
      <c r="B125" s="63"/>
      <c r="C125" s="63"/>
      <c r="D125" s="63"/>
      <c r="E125" s="63"/>
      <c r="F125" s="63"/>
      <c r="G125" s="63"/>
    </row>
    <row r="126" spans="1:8" x14ac:dyDescent="0.2">
      <c r="A126" s="63">
        <v>0</v>
      </c>
      <c r="B126" s="63"/>
      <c r="C126" s="63"/>
      <c r="D126" s="63"/>
      <c r="E126" s="63"/>
      <c r="F126" s="63"/>
      <c r="G126" s="63"/>
    </row>
    <row r="127" spans="1:8" x14ac:dyDescent="0.2">
      <c r="A127" s="63">
        <v>0</v>
      </c>
      <c r="B127" s="63"/>
      <c r="C127" s="63"/>
      <c r="D127" s="63"/>
      <c r="E127" s="63"/>
      <c r="F127" s="63"/>
      <c r="G127" s="63"/>
    </row>
    <row r="128" spans="1:8" x14ac:dyDescent="0.2">
      <c r="A128" s="63"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171450</xdr:rowOff>
                  </from>
                  <to>
                    <xdr:col>8</xdr:col>
                    <xdr:colOff>552450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6"/>
  <sheetViews>
    <sheetView showGridLines="0" showZeros="0" topLeftCell="A19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208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3"/>
      <c r="H1" s="423"/>
      <c r="I1" s="426" t="s">
        <v>47</v>
      </c>
      <c r="J1" s="608">
        <f>[1]Firma!$A$15</f>
        <v>45078</v>
      </c>
      <c r="K1" s="608"/>
      <c r="L1" s="608"/>
      <c r="M1" s="608"/>
      <c r="N1" s="608"/>
      <c r="O1" s="609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s="124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0"/>
      <c r="H2" s="290"/>
      <c r="I2" s="291"/>
      <c r="J2" s="405"/>
      <c r="K2" s="287"/>
      <c r="L2" s="287"/>
      <c r="M2" s="287"/>
      <c r="N2" s="286"/>
      <c r="O2" s="406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41" t="str">
        <f>VLOOKUP($P$3,'[1]Mit-1'!$A$5:$U$19,3,FALSE)</f>
        <v>39100 Bozen, Brennerstrasse 2</v>
      </c>
      <c r="H4" s="4"/>
      <c r="I4" s="197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41" t="str">
        <f>VLOOKUP($P$3,'[1]Mit-1'!$A$5:$U$19,6,FALSE)</f>
        <v>AAABBB84B11B220G</v>
      </c>
      <c r="H5" s="4"/>
      <c r="I5" s="2"/>
      <c r="J5" s="408"/>
      <c r="K5" s="65"/>
      <c r="L5" s="65"/>
      <c r="M5" s="65"/>
      <c r="N5" s="65"/>
      <c r="O5" s="67"/>
      <c r="P5" s="3"/>
      <c r="Q5" s="681" t="s">
        <v>136</v>
      </c>
      <c r="R5" s="682"/>
      <c r="S5" s="68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684"/>
      <c r="R6" s="685"/>
      <c r="S6" s="686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Q7" s="687" t="s">
        <v>134</v>
      </c>
      <c r="R7" s="688"/>
      <c r="S7" s="689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VLOOKUP($P$3,'[1]Mit-2'!$A$5:$P$19,8,FALSE)</f>
        <v>2</v>
      </c>
      <c r="H8" s="133" t="s">
        <v>231</v>
      </c>
      <c r="I8" s="221">
        <f>VLOOKUP($P$3,'[1]Mit-2'!$A$46:$AD$60,22,FALSE)</f>
        <v>2</v>
      </c>
      <c r="J8" s="610" t="s">
        <v>226</v>
      </c>
      <c r="K8" s="611"/>
      <c r="L8" s="611"/>
      <c r="M8" s="611"/>
      <c r="N8" s="611"/>
      <c r="O8" s="612"/>
      <c r="P8" s="3"/>
      <c r="Q8" s="687"/>
      <c r="R8" s="688"/>
      <c r="S8" s="689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1">
        <f>VLOOKUP($P$3,'[1]Mit-2'!$A$5:$AD$19,22,FALSE)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3"/>
      <c r="Q9" s="284"/>
      <c r="R9" s="560"/>
      <c r="S9" s="67"/>
      <c r="T9" s="390">
        <f>[1]Firma!$B$15</f>
        <v>30</v>
      </c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673" t="s">
        <v>207</v>
      </c>
      <c r="R10" s="674"/>
      <c r="S10" s="675"/>
      <c r="T10" s="3"/>
      <c r="U10" s="3"/>
      <c r="V10" s="3"/>
      <c r="W10" s="3"/>
      <c r="X10" s="3"/>
      <c r="Y10" s="3"/>
      <c r="Z10" s="3"/>
    </row>
    <row r="11" spans="1:26" ht="13.9" customHeight="1" x14ac:dyDescent="0.2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6"/>
      <c r="Q11" s="676"/>
      <c r="R11" s="677"/>
      <c r="S11" s="678"/>
      <c r="T11" s="6"/>
      <c r="U11" s="6"/>
      <c r="V11" s="6"/>
      <c r="W11" s="6"/>
      <c r="X11" s="6"/>
      <c r="Y11" s="6"/>
      <c r="Z11" s="6"/>
    </row>
    <row r="12" spans="1:26" x14ac:dyDescent="0.2">
      <c r="A12" s="250">
        <f>VLOOKUP($G$8,'[1]Lohntab-Tab-retr.'!$A$7:$O$15,7,FALSE)</f>
        <v>1477.83</v>
      </c>
      <c r="B12" s="251">
        <f>VLOOKUP($G$8,'[1]Lohntab-Tab-retr.'!$A$21:$O$29,7,FALSE)</f>
        <v>532.54</v>
      </c>
      <c r="C12" s="251">
        <f>I8*VLOOKUP($G$8,'[1]Lohntab-Tab-retr.'!$A$63:$O$71,7,FALSE)</f>
        <v>45.66</v>
      </c>
      <c r="D12" s="251">
        <f>VLOOKUP($G$8,'[1]Lohntab-Tab-retr.'!$A$35:$O$43,7,FALSE)</f>
        <v>0</v>
      </c>
      <c r="E12" s="695">
        <f>VLOOKUP($G$8,'[1]Lohntab-Tab-retr.'!$A$49:$O$57,7,FALSE)</f>
        <v>8</v>
      </c>
      <c r="F12" s="695"/>
      <c r="G12" s="251">
        <f>VLOOKUP($P$3,'[1]Mit-2'!$A$24:$P$38,8,FALSE)</f>
        <v>300</v>
      </c>
      <c r="H12" s="251">
        <f>VLOOKUP($G$8,'[1]Lohntab-Tab-retr.'!$A$77:$O$85,7,FALSE)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9" customHeight="1" x14ac:dyDescent="0.2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9" customHeight="1" x14ac:dyDescent="0.2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">
      <c r="A16" s="572">
        <f>'05'!A16+(VLOOKUP($P$3,'[1]Mit-2'!$A$90:$P$104,8,FALSE))*G9%</f>
        <v>14.43</v>
      </c>
      <c r="B16" s="569">
        <f>M50</f>
        <v>0</v>
      </c>
      <c r="C16" s="569">
        <f>A16-B16</f>
        <v>14.43</v>
      </c>
      <c r="D16" s="569">
        <f>'05'!D16+(VLOOKUP($P$3,'[1]Mit-2'!$A$90:$AD$104,22,FALSE))*G9%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63" customFormat="1" ht="16.899999999999999" customHeight="1" x14ac:dyDescent="0.2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72"/>
      <c r="V18" s="73"/>
      <c r="W18" s="73"/>
      <c r="X18" s="73"/>
      <c r="Y18" s="72"/>
      <c r="Z18" s="72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49" t="s">
        <v>112</v>
      </c>
      <c r="B37" s="83"/>
      <c r="C37" s="83"/>
      <c r="D37" s="83"/>
      <c r="E37" s="83"/>
      <c r="F37" s="83"/>
      <c r="G37" s="15"/>
      <c r="H37" s="58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3" t="s">
        <v>113</v>
      </c>
      <c r="B38" s="83"/>
      <c r="C38" s="83"/>
      <c r="D38" s="83"/>
      <c r="E38" s="83"/>
      <c r="F38" s="83"/>
      <c r="G38" s="15"/>
      <c r="H38" s="335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48" t="s">
        <v>114</v>
      </c>
      <c r="B44" s="92"/>
      <c r="C44" s="11"/>
      <c r="D44" s="20"/>
      <c r="E44" s="719"/>
      <c r="F44" s="720"/>
      <c r="G44" s="93"/>
      <c r="H44" s="537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59" t="s">
        <v>115</v>
      </c>
      <c r="B45" s="94"/>
      <c r="C45" s="162" t="s">
        <v>223</v>
      </c>
      <c r="D45" s="23">
        <v>11</v>
      </c>
      <c r="E45" s="646"/>
      <c r="F45" s="647"/>
      <c r="G45" s="99"/>
      <c r="H45" s="28">
        <f>IF(I29=0,0,VLOOKUP($P$3,'[1]Mit-2'!$A$65:$P$79,8,FALSE))</f>
        <v>0</v>
      </c>
      <c r="I45" s="226">
        <f>IF($I$9="",ROUND(IF($I$29=0,0,-H45/D45),2),-Steuern!J49)</f>
        <v>0</v>
      </c>
      <c r="J45" s="410">
        <v>27</v>
      </c>
      <c r="K45" s="542"/>
      <c r="L45" s="543"/>
      <c r="M45" s="543"/>
      <c r="N45" s="543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45" t="s">
        <v>142</v>
      </c>
      <c r="B46" s="97"/>
      <c r="C46" s="98"/>
      <c r="D46" s="16"/>
      <c r="E46" s="717"/>
      <c r="F46" s="718"/>
      <c r="G46" s="164"/>
      <c r="H46" s="165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48" t="s">
        <v>114</v>
      </c>
      <c r="B47" s="92"/>
      <c r="C47" s="87"/>
      <c r="D47" s="20"/>
      <c r="E47" s="646"/>
      <c r="F47" s="647"/>
      <c r="G47" s="93"/>
      <c r="H47" s="537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17" t="s">
        <v>115</v>
      </c>
      <c r="B48" s="318"/>
      <c r="C48" s="319" t="s">
        <v>52</v>
      </c>
      <c r="D48" s="325">
        <v>11</v>
      </c>
      <c r="E48" s="715"/>
      <c r="F48" s="716"/>
      <c r="G48" s="321"/>
      <c r="H48" s="450">
        <f>IF(I29=0,0,VLOOKUP($P$3,'[1]Mit-2'!$A$65:$AD$79,22,FALSE))</f>
        <v>0</v>
      </c>
      <c r="I48" s="226">
        <f>IF($I$9="",ROUND(IF($I$29=0,0,-H48/D48),2),-Steuern!N49)</f>
        <v>0</v>
      </c>
      <c r="J48" s="411">
        <v>30</v>
      </c>
      <c r="K48" s="542"/>
      <c r="L48" s="543"/>
      <c r="M48" s="543"/>
      <c r="N48" s="543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59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246</v>
      </c>
      <c r="H49" s="333">
        <v>9</v>
      </c>
      <c r="I49" s="518">
        <f>IF($I$9="",ROUND(IF($I$29=0,0,-D49/H49),2),-Steuern!R50)</f>
        <v>0</v>
      </c>
      <c r="J49" s="416">
        <v>31</v>
      </c>
      <c r="K49" s="542"/>
      <c r="L49" s="543"/>
      <c r="M49" s="543"/>
      <c r="N49" s="543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58" t="s">
        <v>139</v>
      </c>
      <c r="B50" s="91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48" t="s">
        <v>117</v>
      </c>
      <c r="B51" s="100"/>
      <c r="C51" s="80">
        <f>IF(I29=0,0,Steuern!J81)</f>
        <v>0</v>
      </c>
      <c r="D51" s="80">
        <f>IF(I29=0,0,Steuern!L81)</f>
        <v>0</v>
      </c>
      <c r="E51" s="646">
        <f>IF(I29=0,0,Steuern!N81)</f>
        <v>0</v>
      </c>
      <c r="F51" s="647"/>
      <c r="G51" s="80">
        <f>IF(I29=0,0,Steuern!P81)</f>
        <v>0</v>
      </c>
      <c r="H51" s="101">
        <f>IF(I29=0,0,Steuern!R81)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59" t="s">
        <v>138</v>
      </c>
      <c r="B52" s="102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105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69" t="s">
        <v>120</v>
      </c>
      <c r="B54" s="139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1" t="s">
        <v>121</v>
      </c>
      <c r="B55" s="174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3"/>
      <c r="W55" s="3"/>
      <c r="X55" s="3"/>
    </row>
    <row r="56" spans="1:26" ht="16.899999999999999" customHeight="1" x14ac:dyDescent="0.2">
      <c r="A56" s="587" t="s">
        <v>122</v>
      </c>
      <c r="B56" s="176" t="s">
        <v>125</v>
      </c>
      <c r="C56" s="588">
        <f>ROUND(C54*'[1]Mit-2'!$H$84%,2)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2" t="s">
        <v>123</v>
      </c>
      <c r="B59" s="87"/>
      <c r="C59" s="55"/>
      <c r="D59" s="174" t="s">
        <v>41</v>
      </c>
      <c r="E59" s="713">
        <f>-'05'!H59</f>
        <v>0</v>
      </c>
      <c r="F59" s="714"/>
      <c r="G59" s="174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9" t="s">
        <v>43</v>
      </c>
      <c r="B60" s="430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Q64" s="205"/>
    </row>
    <row r="65" spans="1:7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</row>
    <row r="66" spans="1:7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</row>
    <row r="67" spans="1:7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</row>
    <row r="68" spans="1:7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</row>
    <row r="69" spans="1:7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</row>
    <row r="70" spans="1:7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</row>
    <row r="71" spans="1:7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</row>
    <row r="72" spans="1:7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</row>
    <row r="73" spans="1:7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</row>
    <row r="74" spans="1:7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</row>
    <row r="75" spans="1:7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</row>
    <row r="76" spans="1:7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</row>
    <row r="77" spans="1:7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</row>
    <row r="78" spans="1:7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</row>
    <row r="79" spans="1:7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</row>
    <row r="80" spans="1:7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</row>
    <row r="81" spans="1:7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</row>
    <row r="82" spans="1:7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</row>
    <row r="83" spans="1:7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</row>
    <row r="84" spans="1:7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</row>
    <row r="85" spans="1:7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</row>
    <row r="86" spans="1:7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</row>
    <row r="87" spans="1:7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</row>
    <row r="88" spans="1:7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</row>
    <row r="89" spans="1:7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</row>
    <row r="90" spans="1:7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</row>
    <row r="91" spans="1:7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</row>
    <row r="92" spans="1:7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</row>
    <row r="93" spans="1:7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</row>
    <row r="94" spans="1:7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</row>
    <row r="95" spans="1:7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</row>
    <row r="96" spans="1:7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</row>
    <row r="97" spans="1:7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</row>
    <row r="98" spans="1:7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</row>
    <row r="99" spans="1:7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</row>
    <row r="100" spans="1:7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</row>
    <row r="101" spans="1:7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</row>
    <row r="102" spans="1:7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</row>
    <row r="103" spans="1:7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</row>
    <row r="104" spans="1:7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</row>
    <row r="105" spans="1:7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</row>
    <row r="106" spans="1:7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</row>
    <row r="107" spans="1:7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</row>
    <row r="108" spans="1:7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</row>
    <row r="109" spans="1:7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</row>
    <row r="110" spans="1:7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</row>
    <row r="111" spans="1:7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</row>
    <row r="112" spans="1:7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</row>
    <row r="113" spans="1:7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</row>
    <row r="114" spans="1:7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</row>
    <row r="115" spans="1:7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</row>
    <row r="116" spans="1:7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</row>
    <row r="117" spans="1:7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</row>
    <row r="118" spans="1:7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</row>
    <row r="119" spans="1:7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</row>
    <row r="120" spans="1:7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</row>
    <row r="121" spans="1:7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</row>
    <row r="122" spans="1:7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</row>
    <row r="123" spans="1:7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</row>
    <row r="124" spans="1:7" x14ac:dyDescent="0.2">
      <c r="A124" s="63">
        <f>'[1]Beschr-Descr.'!A65</f>
        <v>0</v>
      </c>
      <c r="B124" s="63"/>
      <c r="C124" s="63"/>
      <c r="D124" s="63"/>
      <c r="E124" s="63"/>
      <c r="F124" s="63"/>
      <c r="G124" s="63"/>
    </row>
    <row r="125" spans="1:7" x14ac:dyDescent="0.2">
      <c r="A125" s="63">
        <f>'[1]Beschr-Descr.'!A66</f>
        <v>0</v>
      </c>
      <c r="B125" s="63"/>
      <c r="C125" s="63"/>
      <c r="D125" s="63"/>
      <c r="E125" s="63"/>
      <c r="F125" s="63"/>
      <c r="G125" s="63"/>
    </row>
    <row r="126" spans="1:7" x14ac:dyDescent="0.2">
      <c r="A126" s="63">
        <f>'[1]Beschr-Descr.'!A67</f>
        <v>0</v>
      </c>
      <c r="B126" s="63"/>
      <c r="C126" s="63"/>
      <c r="D126" s="63"/>
      <c r="E126" s="63"/>
      <c r="F126" s="63"/>
      <c r="G126" s="63"/>
    </row>
    <row r="127" spans="1:7" x14ac:dyDescent="0.2">
      <c r="A127" s="63">
        <f>'[1]Beschr-Descr.'!A68</f>
        <v>0</v>
      </c>
      <c r="B127" s="63"/>
      <c r="C127" s="63"/>
      <c r="D127" s="63"/>
      <c r="E127" s="63"/>
      <c r="F127" s="63"/>
      <c r="G127" s="63"/>
    </row>
    <row r="128" spans="1:7" x14ac:dyDescent="0.2">
      <c r="A128" s="63">
        <f>'[1]Beschr-Descr.'!A69</f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f>'[1]Beschr-Descr.'!A70</f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f>'[1]Beschr-Descr.'!A71</f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f>'[1]Beschr-Descr.'!A72</f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f>'[1]Beschr-Descr.'!A73</f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f>'[1]Beschr-Descr.'!A74</f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f>'[1]Beschr-Descr.'!A75</f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f>'[1]Beschr-Descr.'!A76</f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f>'[1]Beschr-Descr.'!A77</f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f>'[1]Beschr-Descr.'!A78</f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f>'[1]Beschr-Descr.'!A79</f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f>'[1]Beschr-Descr.'!A80</f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f>'[1]Beschr-Descr.'!A81</f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f>'[1]Beschr-Descr.'!A82</f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f>'[1]Beschr-Descr.'!A83</f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f>'[1]Beschr-Descr.'!A84</f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f>'[1]Beschr-Descr.'!A85</f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f>'[1]Beschr-Descr.'!A86</f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f>'[1]Beschr-Descr.'!A87</f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f>'[1]Beschr-Descr.'!A88</f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f>'[1]Beschr-Descr.'!A89</f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f>'[1]Beschr-Descr.'!A90</f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f>'[1]Beschr-Descr.'!A91</f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f>'[1]Beschr-Descr.'!A92</f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f>'[1]Beschr-Descr.'!A93</f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f>'[1]Beschr-Descr.'!A94</f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f>'[1]Beschr-Descr.'!A95</f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f>'[1]Beschr-Descr.'!A96</f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f>'[1]Beschr-Descr.'!A97</f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f>'[1]Beschr-Descr.'!A98</f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f>'[1]Beschr-Descr.'!A99</f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f>'[1]Beschr-Descr.'!A100</f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f>'[1]Beschr-Descr.'!A101</f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f>'[1]Beschr-Descr.'!A102</f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19050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6"/>
  <sheetViews>
    <sheetView showGridLines="0" showZeros="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723" t="str">
        <f>[1]Firma!$A$16</f>
        <v>14. M.</v>
      </c>
      <c r="K1" s="723"/>
      <c r="L1" s="723"/>
      <c r="M1" s="723"/>
      <c r="N1" s="723"/>
      <c r="O1" s="724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216" t="str">
        <f>VLOOKUP($P$3,'[1]Mit-1'!$A$5:$U$19,3,FALSE)</f>
        <v>39100 Bozen, Brennerstrasse 2</v>
      </c>
      <c r="H4" s="66"/>
      <c r="I4" s="196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216" t="str">
        <f>VLOOKUP($P$3,'[1]Mit-1'!$A$5:$U$19,6,FALSE)</f>
        <v>AAABBB84B11B220G</v>
      </c>
      <c r="H5" s="66"/>
      <c r="I5" s="67"/>
      <c r="J5" s="408"/>
      <c r="K5" s="65"/>
      <c r="L5" s="65"/>
      <c r="M5" s="65"/>
      <c r="N5" s="65"/>
      <c r="O5" s="67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219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218">
        <f>VLOOKUP($P$3,'[1]Mit-1'!$A$5:$U$19,4,FALSE)</f>
        <v>30723</v>
      </c>
      <c r="H7" s="132" t="s">
        <v>10</v>
      </c>
      <c r="I7" s="220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R7" s="3"/>
      <c r="S7" s="3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VLOOKUP($P$3,'[1]Mit-2'!$A$5:$P$19,6,FALSE)</f>
        <v>2</v>
      </c>
      <c r="H8" s="133" t="s">
        <v>231</v>
      </c>
      <c r="I8" s="221">
        <f>VLOOKUP($P$3,'[1]Mit-2'!$A$46:$AD$60,20,FALSE)</f>
        <v>2</v>
      </c>
      <c r="J8" s="610" t="s">
        <v>226</v>
      </c>
      <c r="K8" s="611"/>
      <c r="L8" s="611"/>
      <c r="M8" s="611"/>
      <c r="N8" s="611"/>
      <c r="O8" s="612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0">
        <f>VLOOKUP($P$3,'[1]Mit-2'!$A$5:$AD$19,20,FALSE)</f>
        <v>100</v>
      </c>
      <c r="H9" s="132" t="s">
        <v>232</v>
      </c>
      <c r="I9" s="191"/>
      <c r="J9" s="613"/>
      <c r="K9" s="614"/>
      <c r="L9" s="614"/>
      <c r="M9" s="614"/>
      <c r="N9" s="614"/>
      <c r="O9" s="615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x14ac:dyDescent="0.2">
      <c r="A12" s="250">
        <f>VLOOKUP($G$8,'[1]Lohntab-Tab-retr.'!$A$7:$O$15,8,FALSE)</f>
        <v>1477.83</v>
      </c>
      <c r="B12" s="251">
        <f>VLOOKUP($G$8,'[1]Lohntab-Tab-retr.'!$A$21:$O$29,8,FALSE)</f>
        <v>532.54</v>
      </c>
      <c r="C12" s="251">
        <f>I8*VLOOKUP($G$8,'[1]Lohntab-Tab-retr.'!$A$63:$O$71,8,FALSE)</f>
        <v>45.66</v>
      </c>
      <c r="D12" s="251">
        <f>VLOOKUP($G$8,'[1]Lohntab-Tab-retr.'!$A$35:$O$43,8,FALSE)</f>
        <v>0</v>
      </c>
      <c r="E12" s="695">
        <f>VLOOKUP($G$8,'[1]Lohntab-Tab-retr.'!$A$49:$O$57,8,FALSE)</f>
        <v>8</v>
      </c>
      <c r="F12" s="695"/>
      <c r="G12" s="251">
        <f>VLOOKUP($P$3,'[1]Mit-2'!$A$24:$P$38,9,FALSE)</f>
        <v>300</v>
      </c>
      <c r="H12" s="251">
        <f>VLOOKUP($G$8,'[1]Lohntab-Tab-retr.'!$A$77:$O$85,8,FALSE)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726"/>
      <c r="F14" s="726"/>
      <c r="G14" s="215"/>
      <c r="H14" s="215"/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13"/>
      <c r="E15" s="727"/>
      <c r="F15" s="728"/>
      <c r="G15" s="213"/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3"/>
      <c r="B16" s="575"/>
      <c r="C16" s="265"/>
      <c r="D16" s="574"/>
      <c r="E16" s="725"/>
      <c r="F16" s="725"/>
      <c r="G16" s="214"/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63"/>
      <c r="L19" s="564"/>
      <c r="M19" s="564"/>
      <c r="N19" s="564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65"/>
      <c r="L20" s="566"/>
      <c r="M20" s="566"/>
      <c r="N20" s="566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>IF(A21="Abzug Bruttoberechnung Krankengeld INPS",ROUND(I18*G21,2),ROUND(H21*F21,2))</f>
        <v>0</v>
      </c>
      <c r="J21" s="410">
        <v>3</v>
      </c>
      <c r="K21" s="565"/>
      <c r="L21" s="566"/>
      <c r="M21" s="566"/>
      <c r="N21" s="566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>IF(A22="Abzug Bruttoberechnung Krankengeld INPS",ROUND(I19*G22,2),ROUND(H22*F22,2))</f>
        <v>0</v>
      </c>
      <c r="J22" s="411">
        <v>4</v>
      </c>
      <c r="K22" s="565"/>
      <c r="L22" s="566"/>
      <c r="M22" s="566"/>
      <c r="N22" s="566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>IF(A23="Abzug Bruttoberechnung Krankengeld INPS",ROUND(I19*G23,2),ROUND(H23*F23,2))</f>
        <v>0</v>
      </c>
      <c r="J23" s="410">
        <v>5</v>
      </c>
      <c r="K23" s="565"/>
      <c r="L23" s="566"/>
      <c r="M23" s="566"/>
      <c r="N23" s="566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>IF(A24="Abzug Bruttoberechnung Krankengeld INPS",ROUND(I20*G24,2),ROUND(H24*F24,2))</f>
        <v>0</v>
      </c>
      <c r="J24" s="411">
        <v>6</v>
      </c>
      <c r="K24" s="565"/>
      <c r="L24" s="566"/>
      <c r="M24" s="566"/>
      <c r="N24" s="566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65"/>
      <c r="L25" s="566"/>
      <c r="M25" s="566"/>
      <c r="N25" s="566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65"/>
      <c r="L26" s="566"/>
      <c r="M26" s="566"/>
      <c r="N26" s="566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65"/>
      <c r="L27" s="566"/>
      <c r="M27" s="566"/>
      <c r="N27" s="566"/>
      <c r="O27" s="544"/>
      <c r="P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65"/>
      <c r="L28" s="566"/>
      <c r="M28" s="566"/>
      <c r="N28" s="566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65"/>
      <c r="L29" s="566"/>
      <c r="M29" s="566"/>
      <c r="N29" s="567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v>9.1899999999999996E-2</v>
      </c>
      <c r="I30" s="222">
        <f>-ROUND(G30*H30,2)</f>
        <v>0</v>
      </c>
      <c r="J30" s="411">
        <v>12</v>
      </c>
      <c r="K30" s="565"/>
      <c r="L30" s="566"/>
      <c r="M30" s="566"/>
      <c r="N30" s="566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65"/>
      <c r="L31" s="566"/>
      <c r="M31" s="566"/>
      <c r="N31" s="566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65"/>
      <c r="L32" s="566"/>
      <c r="M32" s="566"/>
      <c r="N32" s="566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65"/>
      <c r="L33" s="566"/>
      <c r="M33" s="566"/>
      <c r="N33" s="566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65"/>
      <c r="L34" s="566"/>
      <c r="M34" s="566"/>
      <c r="N34" s="566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65"/>
      <c r="L35" s="566"/>
      <c r="M35" s="566"/>
      <c r="N35" s="566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65"/>
      <c r="L36" s="566"/>
      <c r="M36" s="566"/>
      <c r="N36" s="566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31">
        <f>ROUND(IF(I29=0,0,VLOOKUP($P$3,'[1]Mit-1'!$A$5:$U$19,12,FALSE))/12,2)</f>
        <v>0</v>
      </c>
      <c r="I37" s="571"/>
      <c r="J37" s="410">
        <v>19</v>
      </c>
      <c r="K37" s="565"/>
      <c r="L37" s="566"/>
      <c r="M37" s="566"/>
      <c r="N37" s="566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335">
        <f ca="1">IF(SUM(I29:I37)-H37&lt;0,0,SUM(I29:I37)-H37)</f>
        <v>0</v>
      </c>
      <c r="I38" s="235"/>
      <c r="J38" s="411">
        <v>20</v>
      </c>
      <c r="K38" s="565"/>
      <c r="L38" s="566"/>
      <c r="M38" s="566"/>
      <c r="N38" s="566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410">
        <v>21</v>
      </c>
      <c r="K39" s="565"/>
      <c r="L39" s="566"/>
      <c r="M39" s="566"/>
      <c r="N39" s="566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15">
        <f>ROUND(IF(I29=0,0,VLOOKUP($P$3,'[1]Mit-1'!$A$5:$AB$19,14,FALSE)/[1]Firma!$B$24*IF(R9=0,T9,R9)),2)</f>
        <v>0</v>
      </c>
      <c r="I40" s="227"/>
      <c r="J40" s="411">
        <v>22</v>
      </c>
      <c r="K40" s="565"/>
      <c r="L40" s="566"/>
      <c r="M40" s="566"/>
      <c r="N40" s="566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16"/>
      <c r="I41" s="389"/>
      <c r="J41" s="410">
        <v>23</v>
      </c>
      <c r="K41" s="565"/>
      <c r="L41" s="566"/>
      <c r="M41" s="566"/>
      <c r="N41" s="566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SUM(H39:H41)</f>
        <v>0</v>
      </c>
      <c r="J42" s="411">
        <v>24</v>
      </c>
      <c r="K42" s="565"/>
      <c r="L42" s="566"/>
      <c r="M42" s="566"/>
      <c r="N42" s="566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65"/>
      <c r="L43" s="566"/>
      <c r="M43" s="566"/>
      <c r="N43" s="566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11"/>
      <c r="D44" s="20"/>
      <c r="E44" s="719"/>
      <c r="F44" s="720"/>
      <c r="G44" s="21"/>
      <c r="H44" s="525"/>
      <c r="I44" s="237"/>
      <c r="J44" s="411">
        <v>26</v>
      </c>
      <c r="K44" s="565"/>
      <c r="L44" s="566"/>
      <c r="M44" s="566"/>
      <c r="N44" s="566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61" t="s">
        <v>115</v>
      </c>
      <c r="B45" s="22"/>
      <c r="C45" s="163"/>
      <c r="D45" s="23"/>
      <c r="E45" s="719"/>
      <c r="F45" s="720"/>
      <c r="G45" s="24"/>
      <c r="H45" s="28"/>
      <c r="I45" s="238"/>
      <c r="J45" s="410">
        <v>27</v>
      </c>
      <c r="K45" s="565"/>
      <c r="L45" s="566"/>
      <c r="M45" s="566"/>
      <c r="N45" s="566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17"/>
      <c r="C46" s="18"/>
      <c r="D46" s="16"/>
      <c r="E46" s="729"/>
      <c r="F46" s="730"/>
      <c r="G46" s="166"/>
      <c r="H46" s="167" t="s">
        <v>33</v>
      </c>
      <c r="I46" s="231"/>
      <c r="J46" s="411">
        <v>28</v>
      </c>
      <c r="K46" s="565"/>
      <c r="L46" s="566"/>
      <c r="M46" s="566"/>
      <c r="N46" s="566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11"/>
      <c r="D47" s="20"/>
      <c r="E47" s="719"/>
      <c r="F47" s="720"/>
      <c r="G47" s="21"/>
      <c r="H47" s="525"/>
      <c r="I47" s="232"/>
      <c r="J47" s="410">
        <v>29</v>
      </c>
      <c r="K47" s="565"/>
      <c r="L47" s="566"/>
      <c r="M47" s="566"/>
      <c r="N47" s="566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22" t="s">
        <v>115</v>
      </c>
      <c r="B48" s="323"/>
      <c r="C48" s="324"/>
      <c r="D48" s="325"/>
      <c r="E48" s="731"/>
      <c r="F48" s="732"/>
      <c r="G48" s="327"/>
      <c r="H48" s="326"/>
      <c r="I48" s="238"/>
      <c r="J48" s="411">
        <v>30</v>
      </c>
      <c r="K48" s="565"/>
      <c r="L48" s="566"/>
      <c r="M48" s="566"/>
      <c r="N48" s="566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61" t="s">
        <v>147</v>
      </c>
      <c r="B49" s="329"/>
      <c r="C49" s="330">
        <f>H48</f>
        <v>0</v>
      </c>
      <c r="D49" s="331">
        <f>ROUND(C49*B49,2)</f>
        <v>0</v>
      </c>
      <c r="E49" s="741"/>
      <c r="F49" s="742"/>
      <c r="G49" s="332"/>
      <c r="H49" s="333"/>
      <c r="I49" s="233"/>
      <c r="J49" s="416">
        <v>31</v>
      </c>
      <c r="K49" s="565"/>
      <c r="L49" s="566"/>
      <c r="M49" s="566"/>
      <c r="N49" s="566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60" t="s">
        <v>116</v>
      </c>
      <c r="B50" s="25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26"/>
      <c r="C51" s="80">
        <f>IF(I29=0,0,Steuern!J82)</f>
        <v>0</v>
      </c>
      <c r="D51" s="80">
        <f>IF(I29=0,0,Steuern!L82)</f>
        <v>0</v>
      </c>
      <c r="E51" s="646">
        <f>IF(I29=0,0,Steuern!N82)</f>
        <v>0</v>
      </c>
      <c r="F51" s="647"/>
      <c r="G51" s="80">
        <f>IF(I29=0,0,Steuern!P82)</f>
        <v>0</v>
      </c>
      <c r="H51" s="101">
        <f>IF(I29=0,0,Steuern!R82)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118</v>
      </c>
      <c r="B52" s="27"/>
      <c r="C52" s="56"/>
      <c r="D52" s="56"/>
      <c r="E52" s="655"/>
      <c r="F52" s="656"/>
      <c r="G52" s="56"/>
      <c r="H52" s="104"/>
      <c r="I52" s="233">
        <f>IF(H52="",0,H51-H52)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30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70" t="s">
        <v>120</v>
      </c>
      <c r="B54" s="173" t="s">
        <v>124</v>
      </c>
      <c r="C54" s="277">
        <v>0</v>
      </c>
      <c r="D54" s="173" t="s">
        <v>38</v>
      </c>
      <c r="E54" s="735">
        <f>ROUND(IF($I$9="",0,Steuern!$D$89/13.5),2)</f>
        <v>0</v>
      </c>
      <c r="F54" s="736"/>
      <c r="G54" s="173" t="s">
        <v>40</v>
      </c>
      <c r="H54" s="278"/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2" t="s">
        <v>121</v>
      </c>
      <c r="B55" s="175" t="s">
        <v>37</v>
      </c>
      <c r="C55" s="57"/>
      <c r="D55" s="175" t="s">
        <v>39</v>
      </c>
      <c r="E55" s="739"/>
      <c r="F55" s="740"/>
      <c r="G55" s="175" t="s">
        <v>35</v>
      </c>
      <c r="H55" s="29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5">
        <f>ROUND(IF(AND(($C$52-D$52-E$52)&lt;=R55,($C$52-D$52-E$52)&gt;0),($C$52-$D$52-E$52)*S55,0),2)</f>
        <v>0</v>
      </c>
      <c r="V55" s="3"/>
      <c r="W55" s="3"/>
      <c r="X55" s="3"/>
    </row>
    <row r="56" spans="1:26" ht="16.899999999999999" customHeight="1" x14ac:dyDescent="0.2">
      <c r="A56" s="596" t="s">
        <v>122</v>
      </c>
      <c r="B56" s="177" t="s">
        <v>125</v>
      </c>
      <c r="C56" s="597"/>
      <c r="D56" s="177" t="s">
        <v>262</v>
      </c>
      <c r="E56" s="737"/>
      <c r="F56" s="738"/>
      <c r="G56" s="589"/>
      <c r="H56" s="590"/>
      <c r="I56" s="224">
        <f>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5">
        <f>ROUND(IF(AND($C$52&lt;=R56,$C$52&gt;=Q56),T55+($C$52-R55)*S56,0),2)</f>
        <v>0</v>
      </c>
    </row>
    <row r="57" spans="1:26" ht="12.75" customHeight="1" x14ac:dyDescent="0.2">
      <c r="A57" s="591"/>
      <c r="B57" s="583"/>
      <c r="C57" s="583"/>
      <c r="D57" s="584"/>
      <c r="E57" s="653"/>
      <c r="F57" s="653"/>
      <c r="G57" s="584"/>
      <c r="H57" s="585"/>
      <c r="I57" s="592"/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5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5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4" t="s">
        <v>123</v>
      </c>
      <c r="B59" s="11"/>
      <c r="C59" s="55"/>
      <c r="D59" s="175" t="s">
        <v>41</v>
      </c>
      <c r="E59" s="733">
        <f>-'06'!H59</f>
        <v>0</v>
      </c>
      <c r="F59" s="734"/>
      <c r="G59" s="175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ROUND(IF($H$41&gt;R58,T58+($H$41-R58)*S59,0),2)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7" t="s">
        <v>43</v>
      </c>
      <c r="B60" s="428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64"/>
      <c r="B61" s="64"/>
      <c r="C61" s="64"/>
      <c r="D61" s="64"/>
      <c r="E61" s="64"/>
      <c r="F61" s="64"/>
      <c r="G61" s="64"/>
      <c r="H61" s="64"/>
      <c r="I61" s="3"/>
      <c r="K61" s="64"/>
      <c r="L61" s="64"/>
      <c r="M61" s="64"/>
      <c r="Q61" s="299">
        <f ca="1">SUM(I53:I58,E59)</f>
        <v>0</v>
      </c>
    </row>
    <row r="62" spans="1:26" x14ac:dyDescent="0.2">
      <c r="A62" s="63"/>
      <c r="B62" s="63"/>
      <c r="C62" s="63"/>
      <c r="D62" s="63"/>
      <c r="E62" s="63"/>
      <c r="F62" s="63"/>
      <c r="G62" s="63"/>
      <c r="H62" s="63"/>
      <c r="Q62" s="4"/>
    </row>
    <row r="63" spans="1:26" ht="15.75" customHeight="1" x14ac:dyDescent="0.2">
      <c r="A63" s="63"/>
      <c r="B63" s="63"/>
      <c r="C63" s="63"/>
      <c r="D63" s="63"/>
      <c r="E63" s="63"/>
      <c r="F63" s="63"/>
      <c r="G63" s="63"/>
      <c r="H63" s="63"/>
      <c r="Q63" s="4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H64" s="63"/>
      <c r="Q64" s="4"/>
    </row>
    <row r="65" spans="1:8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  <c r="H65" s="63"/>
    </row>
    <row r="66" spans="1:8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  <c r="H66" s="63"/>
    </row>
    <row r="67" spans="1:8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  <c r="H67" s="63"/>
    </row>
    <row r="68" spans="1:8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  <c r="H68" s="63"/>
    </row>
    <row r="69" spans="1:8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  <c r="H69" s="63"/>
    </row>
    <row r="70" spans="1:8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  <c r="H70" s="63"/>
    </row>
    <row r="71" spans="1:8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  <c r="H71" s="63"/>
    </row>
    <row r="72" spans="1:8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  <c r="H72" s="63"/>
    </row>
    <row r="73" spans="1:8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  <c r="H73" s="63"/>
    </row>
    <row r="74" spans="1:8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  <c r="H74" s="63"/>
    </row>
    <row r="75" spans="1:8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  <c r="H75" s="63"/>
    </row>
    <row r="76" spans="1:8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  <c r="H76" s="63"/>
    </row>
    <row r="77" spans="1:8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  <c r="H77" s="63"/>
    </row>
    <row r="78" spans="1:8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  <c r="H78" s="63"/>
    </row>
    <row r="79" spans="1:8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  <c r="H79" s="63"/>
    </row>
    <row r="80" spans="1:8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  <c r="H80" s="63"/>
    </row>
    <row r="81" spans="1:8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  <c r="H81" s="63"/>
    </row>
    <row r="82" spans="1:8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  <c r="H82" s="63"/>
    </row>
    <row r="83" spans="1:8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  <c r="H83" s="63"/>
    </row>
    <row r="84" spans="1:8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  <c r="H84" s="63"/>
    </row>
    <row r="85" spans="1:8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  <c r="H85" s="63"/>
    </row>
    <row r="86" spans="1:8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  <c r="H86" s="63"/>
    </row>
    <row r="87" spans="1:8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  <c r="H87" s="63"/>
    </row>
    <row r="88" spans="1:8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  <c r="H88" s="63"/>
    </row>
    <row r="89" spans="1:8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  <c r="H89" s="63"/>
    </row>
    <row r="90" spans="1:8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  <c r="H90" s="63"/>
    </row>
    <row r="91" spans="1:8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  <c r="H91" s="63"/>
    </row>
    <row r="92" spans="1:8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  <c r="H92" s="63"/>
    </row>
    <row r="93" spans="1:8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  <c r="H93" s="63"/>
    </row>
    <row r="94" spans="1:8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  <c r="H94" s="63"/>
    </row>
    <row r="95" spans="1:8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  <c r="H95" s="63"/>
    </row>
    <row r="96" spans="1:8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  <c r="H96" s="63"/>
    </row>
    <row r="97" spans="1:8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  <c r="H97" s="63"/>
    </row>
    <row r="98" spans="1:8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  <c r="H98" s="63"/>
    </row>
    <row r="99" spans="1:8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  <c r="H99" s="63"/>
    </row>
    <row r="100" spans="1:8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  <c r="H100" s="63"/>
    </row>
    <row r="101" spans="1:8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  <c r="H101" s="63"/>
    </row>
    <row r="102" spans="1:8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  <c r="H102" s="63"/>
    </row>
    <row r="103" spans="1:8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  <c r="H103" s="63"/>
    </row>
    <row r="104" spans="1:8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  <c r="H104" s="63"/>
    </row>
    <row r="105" spans="1:8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  <c r="H105" s="63"/>
    </row>
    <row r="106" spans="1:8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  <c r="H106" s="63"/>
    </row>
    <row r="107" spans="1:8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  <c r="H107" s="63"/>
    </row>
    <row r="108" spans="1:8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  <c r="H108" s="63"/>
    </row>
    <row r="109" spans="1:8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  <c r="H109" s="63"/>
    </row>
    <row r="110" spans="1:8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  <c r="H110" s="63"/>
    </row>
    <row r="111" spans="1:8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  <c r="H111" s="63"/>
    </row>
    <row r="112" spans="1:8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  <c r="H112" s="63"/>
    </row>
    <row r="113" spans="1:8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  <c r="H113" s="63"/>
    </row>
    <row r="114" spans="1:8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  <c r="H114" s="63"/>
    </row>
    <row r="115" spans="1:8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  <c r="H115" s="63"/>
    </row>
    <row r="116" spans="1:8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  <c r="H116" s="63"/>
    </row>
    <row r="117" spans="1:8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  <c r="H117" s="63"/>
    </row>
    <row r="118" spans="1:8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  <c r="H118" s="63"/>
    </row>
    <row r="119" spans="1:8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  <c r="H119" s="63"/>
    </row>
    <row r="120" spans="1:8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  <c r="H120" s="63"/>
    </row>
    <row r="121" spans="1:8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  <c r="H121" s="63"/>
    </row>
    <row r="122" spans="1:8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  <c r="H122" s="63"/>
    </row>
    <row r="123" spans="1:8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  <c r="H123" s="63"/>
    </row>
    <row r="124" spans="1:8" x14ac:dyDescent="0.2">
      <c r="A124" s="63">
        <v>0</v>
      </c>
      <c r="B124" s="63"/>
      <c r="C124" s="63"/>
      <c r="D124" s="63"/>
      <c r="E124" s="63"/>
      <c r="F124" s="63"/>
      <c r="G124" s="63"/>
    </row>
    <row r="125" spans="1:8" x14ac:dyDescent="0.2">
      <c r="A125" s="63">
        <v>0</v>
      </c>
      <c r="B125" s="63"/>
      <c r="C125" s="63"/>
      <c r="D125" s="63"/>
      <c r="E125" s="63"/>
      <c r="F125" s="63"/>
      <c r="G125" s="63"/>
    </row>
    <row r="126" spans="1:8" x14ac:dyDescent="0.2">
      <c r="A126" s="63">
        <v>0</v>
      </c>
      <c r="B126" s="63"/>
      <c r="C126" s="63"/>
      <c r="D126" s="63"/>
      <c r="E126" s="63"/>
      <c r="F126" s="63"/>
      <c r="G126" s="63"/>
    </row>
    <row r="127" spans="1:8" x14ac:dyDescent="0.2">
      <c r="A127" s="63">
        <v>0</v>
      </c>
      <c r="B127" s="63"/>
      <c r="C127" s="63"/>
      <c r="D127" s="63"/>
      <c r="E127" s="63"/>
      <c r="F127" s="63"/>
      <c r="G127" s="63"/>
    </row>
    <row r="128" spans="1:8" x14ac:dyDescent="0.2">
      <c r="A128" s="63"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542925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6"/>
  <sheetViews>
    <sheetView showGridLines="0" showZeros="0" topLeftCell="A19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[1]Firma!$A$17</f>
        <v>45108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41" t="str">
        <f>VLOOKUP($P$3,'[1]Mit-1'!$A$5:$U$19,3,FALSE)</f>
        <v>39100 Bozen, Brennerstrasse 2</v>
      </c>
      <c r="H4" s="4"/>
      <c r="I4" s="197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41" t="str">
        <f>VLOOKUP($P$3,'[1]Mit-1'!$A$5:$U$19,6,FALSE)</f>
        <v>AAABBB84B11B220G</v>
      </c>
      <c r="H5" s="4"/>
      <c r="I5" s="2"/>
      <c r="J5" s="408"/>
      <c r="K5" s="65"/>
      <c r="L5" s="65"/>
      <c r="M5" s="65"/>
      <c r="N5" s="65"/>
      <c r="O5" s="67"/>
      <c r="P5" s="3"/>
      <c r="Q5" s="681" t="s">
        <v>136</v>
      </c>
      <c r="R5" s="682"/>
      <c r="S5" s="68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684"/>
      <c r="R6" s="685"/>
      <c r="S6" s="686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Q7" s="687" t="s">
        <v>134</v>
      </c>
      <c r="R7" s="688"/>
      <c r="S7" s="689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VLOOKUP($P$3,'[1]Mit-2'!$A$5:$P$19,10,FALSE)</f>
        <v>2</v>
      </c>
      <c r="H8" s="133" t="s">
        <v>231</v>
      </c>
      <c r="I8" s="221">
        <f>VLOOKUP($P$3,'[1]Mit-2'!$A$46:$AD$60,24,FALSE)</f>
        <v>2</v>
      </c>
      <c r="J8" s="610" t="s">
        <v>226</v>
      </c>
      <c r="K8" s="611"/>
      <c r="L8" s="611"/>
      <c r="M8" s="611"/>
      <c r="N8" s="611"/>
      <c r="O8" s="612"/>
      <c r="P8" s="3"/>
      <c r="Q8" s="687"/>
      <c r="R8" s="688"/>
      <c r="S8" s="689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1">
        <f>VLOOKUP($P$3,'[1]Mit-2'!$A$5:$AD$19,24,FALSE)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3"/>
      <c r="Q9" s="284"/>
      <c r="R9" s="560"/>
      <c r="S9" s="67"/>
      <c r="T9" s="390">
        <f>[1]Firma!$B$17</f>
        <v>31</v>
      </c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673" t="s">
        <v>207</v>
      </c>
      <c r="R10" s="674"/>
      <c r="S10" s="675"/>
      <c r="T10" s="3"/>
      <c r="U10" s="3"/>
      <c r="V10" s="3"/>
      <c r="W10" s="3"/>
      <c r="X10" s="3"/>
      <c r="Y10" s="3"/>
      <c r="Z10" s="3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x14ac:dyDescent="0.2">
      <c r="A12" s="250">
        <f>VLOOKUP($G$8,'[1]Lohntab-Tab-retr.'!$A$7:$O$15,9,FALSE)</f>
        <v>1477.83</v>
      </c>
      <c r="B12" s="251">
        <f>VLOOKUP($G$8,'[1]Lohntab-Tab-retr.'!$A$21:$O$29,9,FALSE)</f>
        <v>532.54</v>
      </c>
      <c r="C12" s="251">
        <f>I8*VLOOKUP($G$8,'[1]Lohntab-Tab-retr.'!$A$63:$O$71,9,FALSE)</f>
        <v>45.66</v>
      </c>
      <c r="D12" s="251">
        <f>VLOOKUP($G$8,'[1]Lohntab-Tab-retr.'!$A$35:$O$43,9,FALSE)</f>
        <v>0</v>
      </c>
      <c r="E12" s="695">
        <f>VLOOKUP($G$8,'[1]Lohntab-Tab-retr.'!$A$49:$O$57,9,FALSE)</f>
        <v>8</v>
      </c>
      <c r="F12" s="695"/>
      <c r="G12" s="251">
        <f>VLOOKUP($P$3,'[1]Mit-2'!$A$24:$P$38,10,FALSE)</f>
        <v>300</v>
      </c>
      <c r="H12" s="251">
        <f>VLOOKUP($G$8,'[1]Lohntab-Tab-retr.'!$A$77:$O$85,9,FALSE)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2">
        <f>'06'!A16+(VLOOKUP($P$3,'[1]Mit-2'!$A$90:$P$104,10,FALSE))*G9%</f>
        <v>14.43</v>
      </c>
      <c r="B16" s="569">
        <f>M50</f>
        <v>0</v>
      </c>
      <c r="C16" s="569">
        <f>A16-B16</f>
        <v>14.43</v>
      </c>
      <c r="D16" s="569">
        <f>'06'!D16+(VLOOKUP($P$3,'[1]Mit-2'!$A$90:$AD$104,24,FALSE))*G9%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58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335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11"/>
      <c r="D44" s="20"/>
      <c r="E44" s="719"/>
      <c r="F44" s="720"/>
      <c r="G44" s="93"/>
      <c r="H44" s="537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61" t="s">
        <v>115</v>
      </c>
      <c r="B45" s="22"/>
      <c r="C45" s="163" t="s">
        <v>224</v>
      </c>
      <c r="D45" s="23">
        <v>11</v>
      </c>
      <c r="E45" s="646"/>
      <c r="F45" s="647"/>
      <c r="G45" s="99"/>
      <c r="H45" s="28">
        <f>IF(I29=0,0,VLOOKUP($P$3,'[1]Mit-2'!$A$65:$P$79,10,FALSE))</f>
        <v>0</v>
      </c>
      <c r="I45" s="226">
        <f>IF($I$9="",ROUND(IF($I$29=0,0,-H45/D45),2),-Steuern!J51)</f>
        <v>0</v>
      </c>
      <c r="J45" s="410">
        <v>27</v>
      </c>
      <c r="K45" s="542"/>
      <c r="L45" s="543"/>
      <c r="M45" s="543"/>
      <c r="N45" s="543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17"/>
      <c r="C46" s="18"/>
      <c r="D46" s="16"/>
      <c r="E46" s="717"/>
      <c r="F46" s="718"/>
      <c r="G46" s="164"/>
      <c r="H46" s="167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11"/>
      <c r="D47" s="20"/>
      <c r="E47" s="646"/>
      <c r="F47" s="647"/>
      <c r="G47" s="93"/>
      <c r="H47" s="537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22" t="s">
        <v>115</v>
      </c>
      <c r="B48" s="323"/>
      <c r="C48" s="324" t="s">
        <v>53</v>
      </c>
      <c r="D48" s="325">
        <v>11</v>
      </c>
      <c r="E48" s="715"/>
      <c r="F48" s="716"/>
      <c r="G48" s="321"/>
      <c r="H48" s="450">
        <f>IF(I29=0,0,VLOOKUP($P$3,'[1]Mit-2'!$A$65:$AD$79,24,FALSE))</f>
        <v>0</v>
      </c>
      <c r="I48" s="226">
        <f>IF($I$9="",ROUND(IF($I$29=0,0,-H48/D48),2),-Steuern!N51)</f>
        <v>0</v>
      </c>
      <c r="J48" s="411">
        <v>30</v>
      </c>
      <c r="K48" s="542"/>
      <c r="L48" s="543"/>
      <c r="M48" s="543"/>
      <c r="N48" s="543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61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247</v>
      </c>
      <c r="H49" s="333">
        <v>9</v>
      </c>
      <c r="I49" s="518">
        <f>IF($I$9="",ROUND(IF($I$29=0,0,-D49/H49),2),-Steuern!R52)</f>
        <v>0</v>
      </c>
      <c r="J49" s="416">
        <v>31</v>
      </c>
      <c r="K49" s="542"/>
      <c r="L49" s="543"/>
      <c r="M49" s="543"/>
      <c r="N49" s="543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60" t="s">
        <v>139</v>
      </c>
      <c r="B50" s="25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26"/>
      <c r="C51" s="80">
        <f>IF(I29=0,0,Steuern!J83)</f>
        <v>0</v>
      </c>
      <c r="D51" s="80">
        <f>IF(I29=0,0,Steuern!L83)</f>
        <v>0</v>
      </c>
      <c r="E51" s="646">
        <f>IF(I29=0,0,Steuern!N83)</f>
        <v>0</v>
      </c>
      <c r="F51" s="647"/>
      <c r="G51" s="80">
        <f>IF(I29=0,0,Steuern!P83)</f>
        <v>0</v>
      </c>
      <c r="H51" s="101">
        <f>IF(I29=0,0,Steuern!R83)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27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30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70" t="s">
        <v>120</v>
      </c>
      <c r="B54" s="173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2" t="s">
        <v>121</v>
      </c>
      <c r="B55" s="175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3"/>
      <c r="W55" s="3"/>
      <c r="X55" s="3"/>
    </row>
    <row r="56" spans="1:26" ht="16.899999999999999" customHeight="1" x14ac:dyDescent="0.2">
      <c r="A56" s="596" t="s">
        <v>122</v>
      </c>
      <c r="B56" s="177" t="s">
        <v>125</v>
      </c>
      <c r="C56" s="588">
        <f>ROUND(C54*'[1]Mit-2'!$J$84%,2)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4" t="s">
        <v>123</v>
      </c>
      <c r="B59" s="11"/>
      <c r="C59" s="55"/>
      <c r="D59" s="175" t="s">
        <v>41</v>
      </c>
      <c r="E59" s="733">
        <f>-'14'!H59</f>
        <v>0</v>
      </c>
      <c r="F59" s="734"/>
      <c r="G59" s="175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7" t="s">
        <v>43</v>
      </c>
      <c r="B60" s="428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Q64" s="205"/>
    </row>
    <row r="65" spans="1:7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</row>
    <row r="66" spans="1:7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</row>
    <row r="67" spans="1:7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</row>
    <row r="68" spans="1:7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</row>
    <row r="69" spans="1:7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</row>
    <row r="70" spans="1:7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</row>
    <row r="71" spans="1:7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</row>
    <row r="72" spans="1:7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</row>
    <row r="73" spans="1:7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</row>
    <row r="74" spans="1:7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</row>
    <row r="75" spans="1:7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</row>
    <row r="76" spans="1:7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</row>
    <row r="77" spans="1:7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</row>
    <row r="78" spans="1:7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</row>
    <row r="79" spans="1:7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</row>
    <row r="80" spans="1:7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</row>
    <row r="81" spans="1:7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</row>
    <row r="82" spans="1:7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</row>
    <row r="83" spans="1:7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</row>
    <row r="84" spans="1:7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</row>
    <row r="85" spans="1:7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</row>
    <row r="86" spans="1:7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</row>
    <row r="87" spans="1:7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</row>
    <row r="88" spans="1:7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</row>
    <row r="89" spans="1:7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</row>
    <row r="90" spans="1:7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</row>
    <row r="91" spans="1:7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</row>
    <row r="92" spans="1:7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</row>
    <row r="93" spans="1:7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</row>
    <row r="94" spans="1:7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</row>
    <row r="95" spans="1:7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</row>
    <row r="96" spans="1:7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</row>
    <row r="97" spans="1:7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</row>
    <row r="98" spans="1:7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</row>
    <row r="99" spans="1:7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</row>
    <row r="100" spans="1:7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</row>
    <row r="101" spans="1:7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</row>
    <row r="102" spans="1:7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</row>
    <row r="103" spans="1:7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</row>
    <row r="104" spans="1:7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</row>
    <row r="105" spans="1:7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</row>
    <row r="106" spans="1:7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</row>
    <row r="107" spans="1:7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</row>
    <row r="108" spans="1:7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</row>
    <row r="109" spans="1:7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</row>
    <row r="110" spans="1:7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</row>
    <row r="111" spans="1:7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</row>
    <row r="112" spans="1:7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</row>
    <row r="113" spans="1:7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</row>
    <row r="114" spans="1:7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</row>
    <row r="115" spans="1:7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</row>
    <row r="116" spans="1:7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</row>
    <row r="117" spans="1:7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</row>
    <row r="118" spans="1:7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</row>
    <row r="119" spans="1:7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</row>
    <row r="120" spans="1:7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</row>
    <row r="121" spans="1:7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</row>
    <row r="122" spans="1:7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</row>
    <row r="123" spans="1:7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</row>
    <row r="124" spans="1:7" x14ac:dyDescent="0.2">
      <c r="A124" s="63">
        <f>'[1]Beschr-Descr.'!A65</f>
        <v>0</v>
      </c>
      <c r="B124" s="63"/>
      <c r="C124" s="63"/>
      <c r="D124" s="63"/>
      <c r="E124" s="63"/>
      <c r="F124" s="63"/>
      <c r="G124" s="63"/>
    </row>
    <row r="125" spans="1:7" x14ac:dyDescent="0.2">
      <c r="A125" s="63">
        <f>'[1]Beschr-Descr.'!A66</f>
        <v>0</v>
      </c>
      <c r="B125" s="63"/>
      <c r="C125" s="63"/>
      <c r="D125" s="63"/>
      <c r="E125" s="63"/>
      <c r="F125" s="63"/>
      <c r="G125" s="63"/>
    </row>
    <row r="126" spans="1:7" x14ac:dyDescent="0.2">
      <c r="A126" s="63">
        <f>'[1]Beschr-Descr.'!A67</f>
        <v>0</v>
      </c>
      <c r="B126" s="63"/>
      <c r="C126" s="63"/>
      <c r="D126" s="63"/>
      <c r="E126" s="63"/>
      <c r="F126" s="63"/>
      <c r="G126" s="63"/>
    </row>
    <row r="127" spans="1:7" x14ac:dyDescent="0.2">
      <c r="A127" s="63">
        <f>'[1]Beschr-Descr.'!A68</f>
        <v>0</v>
      </c>
      <c r="B127" s="63"/>
      <c r="C127" s="63"/>
      <c r="D127" s="63"/>
      <c r="E127" s="63"/>
      <c r="F127" s="63"/>
      <c r="G127" s="63"/>
    </row>
    <row r="128" spans="1:7" x14ac:dyDescent="0.2">
      <c r="A128" s="63">
        <f>'[1]Beschr-Descr.'!A69</f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f>'[1]Beschr-Descr.'!A70</f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f>'[1]Beschr-Descr.'!A71</f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f>'[1]Beschr-Descr.'!A72</f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f>'[1]Beschr-Descr.'!A73</f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f>'[1]Beschr-Descr.'!A74</f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f>'[1]Beschr-Descr.'!A75</f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f>'[1]Beschr-Descr.'!A76</f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f>'[1]Beschr-Descr.'!A77</f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f>'[1]Beschr-Descr.'!A78</f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f>'[1]Beschr-Descr.'!A79</f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f>'[1]Beschr-Descr.'!A80</f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f>'[1]Beschr-Descr.'!A81</f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f>'[1]Beschr-Descr.'!A82</f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f>'[1]Beschr-Descr.'!A83</f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f>'[1]Beschr-Descr.'!A84</f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f>'[1]Beschr-Descr.'!A85</f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f>'[1]Beschr-Descr.'!A86</f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f>'[1]Beschr-Descr.'!A87</f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f>'[1]Beschr-Descr.'!A88</f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f>'[1]Beschr-Descr.'!A89</f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f>'[1]Beschr-Descr.'!A90</f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f>'[1]Beschr-Descr.'!A91</f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f>'[1]Beschr-Descr.'!A92</f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f>'[1]Beschr-Descr.'!A93</f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f>'[1]Beschr-Descr.'!A94</f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f>'[1]Beschr-Descr.'!A95</f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f>'[1]Beschr-Descr.'!A96</f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f>'[1]Beschr-Descr.'!A97</f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f>'[1]Beschr-Descr.'!A98</f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f>'[1]Beschr-Descr.'!A99</f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f>'[1]Beschr-Descr.'!A100</f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f>'[1]Beschr-Descr.'!A101</f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f>'[1]Beschr-Descr.'!A102</f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9525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6"/>
  <sheetViews>
    <sheetView showGridLines="0" showZeros="0" topLeftCell="A16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413" customWidth="1"/>
    <col min="11" max="15" width="2.140625" style="63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210" customFormat="1" ht="16.5" customHeight="1" x14ac:dyDescent="0.2">
      <c r="A1" s="422" t="s">
        <v>106</v>
      </c>
      <c r="B1" s="423"/>
      <c r="C1" s="423"/>
      <c r="D1" s="423"/>
      <c r="E1" s="423"/>
      <c r="F1" s="423"/>
      <c r="G1" s="424"/>
      <c r="H1" s="424"/>
      <c r="I1" s="425" t="s">
        <v>47</v>
      </c>
      <c r="J1" s="608">
        <f>[1]Firma!$A$18</f>
        <v>45139</v>
      </c>
      <c r="K1" s="608"/>
      <c r="L1" s="608"/>
      <c r="M1" s="608"/>
      <c r="N1" s="608"/>
      <c r="O1" s="6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s="186" customFormat="1" ht="12.75" customHeight="1" x14ac:dyDescent="0.2">
      <c r="A2" s="285" t="s">
        <v>107</v>
      </c>
      <c r="B2" s="286"/>
      <c r="C2" s="286"/>
      <c r="D2" s="287"/>
      <c r="E2" s="270" t="s">
        <v>132</v>
      </c>
      <c r="F2" s="288"/>
      <c r="G2" s="292"/>
      <c r="H2" s="292"/>
      <c r="I2" s="293"/>
      <c r="J2" s="405"/>
      <c r="K2" s="287"/>
      <c r="L2" s="287"/>
      <c r="M2" s="287"/>
      <c r="N2" s="286"/>
      <c r="O2" s="406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</row>
    <row r="3" spans="1:26" ht="16.899999999999999" customHeight="1" x14ac:dyDescent="0.2">
      <c r="A3" s="130" t="s">
        <v>100</v>
      </c>
      <c r="B3" s="283">
        <f>[1]Firma!$A$4</f>
        <v>0</v>
      </c>
      <c r="C3" s="65"/>
      <c r="D3" s="65"/>
      <c r="E3" s="690" t="s">
        <v>126</v>
      </c>
      <c r="F3" s="691"/>
      <c r="G3" s="40" t="str">
        <f>VLOOKUP(P3,'[1]Mit-1'!$A$5:$B$19,2,FALSE)</f>
        <v>Mustermann Max</v>
      </c>
      <c r="H3" s="1"/>
      <c r="I3" s="2"/>
      <c r="J3" s="407"/>
      <c r="K3" s="109"/>
      <c r="L3" s="109"/>
      <c r="M3" s="109"/>
      <c r="N3" s="109"/>
      <c r="O3" s="196"/>
      <c r="P3" s="127">
        <v>1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0.5" customHeight="1" x14ac:dyDescent="0.2">
      <c r="A4" s="129" t="s">
        <v>101</v>
      </c>
      <c r="B4" s="68">
        <f>[1]Firma!$B$4</f>
        <v>0</v>
      </c>
      <c r="C4" s="68"/>
      <c r="D4" s="68"/>
      <c r="E4" s="269" t="s">
        <v>127</v>
      </c>
      <c r="F4" s="66"/>
      <c r="G4" s="41" t="str">
        <f>VLOOKUP($P$3,'[1]Mit-1'!$A$5:$U$19,3,FALSE)</f>
        <v>39100 Bozen, Brennerstrasse 2</v>
      </c>
      <c r="H4" s="4"/>
      <c r="I4" s="197"/>
      <c r="J4" s="408"/>
      <c r="K4" s="66"/>
      <c r="L4" s="66"/>
      <c r="M4" s="66"/>
      <c r="N4" s="65"/>
      <c r="O4" s="67"/>
      <c r="P4" s="3"/>
      <c r="V4" s="3"/>
      <c r="W4" s="3"/>
      <c r="X4" s="3"/>
      <c r="Y4" s="3"/>
      <c r="Z4" s="3"/>
    </row>
    <row r="5" spans="1:26" ht="16.899999999999999" customHeight="1" x14ac:dyDescent="0.2">
      <c r="A5" s="130" t="s">
        <v>102</v>
      </c>
      <c r="B5" s="391">
        <f>[1]Firma!$C$4</f>
        <v>0</v>
      </c>
      <c r="C5" s="68"/>
      <c r="D5" s="68"/>
      <c r="E5" s="690" t="s">
        <v>103</v>
      </c>
      <c r="F5" s="691"/>
      <c r="G5" s="41" t="str">
        <f>VLOOKUP($P$3,'[1]Mit-1'!$A$5:$U$19,6,FALSE)</f>
        <v>AAABBB84B11B220G</v>
      </c>
      <c r="H5" s="4"/>
      <c r="I5" s="2"/>
      <c r="J5" s="408"/>
      <c r="K5" s="65"/>
      <c r="L5" s="65"/>
      <c r="M5" s="65"/>
      <c r="N5" s="65"/>
      <c r="O5" s="67"/>
      <c r="P5" s="3"/>
      <c r="Q5" s="681" t="s">
        <v>136</v>
      </c>
      <c r="R5" s="682"/>
      <c r="S5" s="683"/>
      <c r="T5" s="3"/>
      <c r="U5" s="3"/>
      <c r="V5" s="3"/>
      <c r="W5" s="3"/>
      <c r="X5" s="3"/>
      <c r="Y5" s="3"/>
      <c r="Z5" s="3"/>
    </row>
    <row r="6" spans="1:26" ht="16.899999999999999" customHeight="1" x14ac:dyDescent="0.2">
      <c r="A6" s="130" t="s">
        <v>103</v>
      </c>
      <c r="B6" s="391">
        <f>[1]Firma!$D$4</f>
        <v>0</v>
      </c>
      <c r="C6" s="68"/>
      <c r="D6" s="68"/>
      <c r="E6" s="269" t="s">
        <v>128</v>
      </c>
      <c r="F6" s="66"/>
      <c r="G6" s="217">
        <f>VLOOKUP($P$3,'[1]Mit-1'!$A$28:$C$42,3,FALSE)</f>
        <v>1</v>
      </c>
      <c r="H6" s="131" t="s">
        <v>9</v>
      </c>
      <c r="I6" s="60">
        <f>VLOOKUP($P$3,'[1]Mit-1'!$A$5:$U$19,7,FALSE)</f>
        <v>44075</v>
      </c>
      <c r="J6" s="408"/>
      <c r="K6" s="66"/>
      <c r="L6" s="66"/>
      <c r="M6" s="66"/>
      <c r="N6" s="65"/>
      <c r="O6" s="67"/>
      <c r="P6" s="3"/>
      <c r="Q6" s="684"/>
      <c r="R6" s="685"/>
      <c r="S6" s="686"/>
      <c r="T6" s="3"/>
      <c r="U6" s="3"/>
      <c r="V6" s="3"/>
      <c r="W6" s="3"/>
      <c r="X6" s="3"/>
      <c r="Y6" s="3"/>
      <c r="Z6" s="3"/>
    </row>
    <row r="7" spans="1:26" ht="16.899999999999999" customHeight="1" x14ac:dyDescent="0.2">
      <c r="A7" s="129" t="s">
        <v>104</v>
      </c>
      <c r="B7" s="391">
        <f>[1]Firma!$E$4</f>
        <v>0</v>
      </c>
      <c r="C7" s="68"/>
      <c r="D7" s="68"/>
      <c r="E7" s="690" t="s">
        <v>129</v>
      </c>
      <c r="F7" s="691"/>
      <c r="G7" s="42">
        <f>VLOOKUP($P$3,'[1]Mit-1'!$A$5:$U$19,4,FALSE)</f>
        <v>30723</v>
      </c>
      <c r="H7" s="132" t="s">
        <v>10</v>
      </c>
      <c r="I7" s="59" t="str">
        <f>VLOOKUP($P$3,'[1]Mit-1'!$A$5:$U$19,5,FALSE)</f>
        <v>Bruneck</v>
      </c>
      <c r="J7" s="408"/>
      <c r="K7" s="66"/>
      <c r="L7" s="66"/>
      <c r="M7" s="66"/>
      <c r="N7" s="65"/>
      <c r="O7" s="67"/>
      <c r="P7" s="3"/>
      <c r="Q7" s="687" t="s">
        <v>134</v>
      </c>
      <c r="R7" s="688"/>
      <c r="S7" s="689"/>
      <c r="T7" s="3"/>
      <c r="U7" s="3"/>
      <c r="V7" s="3"/>
      <c r="W7" s="3"/>
      <c r="X7" s="3"/>
      <c r="Y7" s="3"/>
      <c r="Z7" s="3"/>
    </row>
    <row r="8" spans="1:26" ht="16.899999999999999" customHeight="1" x14ac:dyDescent="0.2">
      <c r="A8" s="129" t="s">
        <v>105</v>
      </c>
      <c r="B8" s="391">
        <f>[1]Firma!$F$4</f>
        <v>0</v>
      </c>
      <c r="C8" s="68"/>
      <c r="D8" s="68"/>
      <c r="E8" s="690" t="s">
        <v>130</v>
      </c>
      <c r="F8" s="691"/>
      <c r="G8" s="217">
        <f>VLOOKUP($P$3,'[1]Mit-2'!$A$5:$P$19,11,FALSE)</f>
        <v>2</v>
      </c>
      <c r="H8" s="133" t="s">
        <v>231</v>
      </c>
      <c r="I8" s="221">
        <f>VLOOKUP($P$3,'[1]Mit-2'!$A$46:$AD$60,25,FALSE)</f>
        <v>2</v>
      </c>
      <c r="J8" s="610" t="s">
        <v>226</v>
      </c>
      <c r="K8" s="611"/>
      <c r="L8" s="611"/>
      <c r="M8" s="611"/>
      <c r="N8" s="611"/>
      <c r="O8" s="612"/>
      <c r="P8" s="3"/>
      <c r="Q8" s="687"/>
      <c r="R8" s="688"/>
      <c r="S8" s="689"/>
      <c r="T8" s="3"/>
      <c r="U8" s="3"/>
      <c r="V8" s="3"/>
      <c r="W8" s="3"/>
      <c r="X8" s="3"/>
      <c r="Y8" s="3"/>
      <c r="Z8" s="3"/>
    </row>
    <row r="9" spans="1:26" ht="16.899999999999999" customHeight="1" x14ac:dyDescent="0.2">
      <c r="A9" s="198"/>
      <c r="B9" s="109"/>
      <c r="C9" s="109"/>
      <c r="D9" s="109"/>
      <c r="E9" s="690" t="s">
        <v>131</v>
      </c>
      <c r="F9" s="691"/>
      <c r="G9" s="581">
        <f>VLOOKUP($P$3,'[1]Mit-2'!$A$5:$AD$19,25,FALSE)</f>
        <v>100</v>
      </c>
      <c r="H9" s="132" t="s">
        <v>232</v>
      </c>
      <c r="I9" s="559"/>
      <c r="J9" s="613"/>
      <c r="K9" s="614"/>
      <c r="L9" s="614"/>
      <c r="M9" s="614"/>
      <c r="N9" s="614"/>
      <c r="O9" s="615"/>
      <c r="P9" s="3"/>
      <c r="Q9" s="284"/>
      <c r="R9" s="560"/>
      <c r="S9" s="67"/>
      <c r="T9" s="390">
        <f>[1]Firma!$B$18</f>
        <v>31</v>
      </c>
      <c r="U9" s="3"/>
      <c r="V9" s="3"/>
      <c r="W9" s="3"/>
      <c r="X9" s="3"/>
      <c r="Y9" s="3"/>
      <c r="Z9" s="3"/>
    </row>
    <row r="10" spans="1:26" ht="10.9" customHeight="1" x14ac:dyDescent="0.2">
      <c r="A10" s="271" t="s">
        <v>108</v>
      </c>
      <c r="B10" s="268"/>
      <c r="C10" s="268"/>
      <c r="D10" s="268"/>
      <c r="E10" s="268"/>
      <c r="F10" s="268"/>
      <c r="G10" s="273"/>
      <c r="H10" s="273"/>
      <c r="I10" s="274"/>
      <c r="J10" s="616" t="s">
        <v>227</v>
      </c>
      <c r="K10" s="619" t="s">
        <v>228</v>
      </c>
      <c r="L10" s="622" t="s">
        <v>229</v>
      </c>
      <c r="M10" s="622" t="s">
        <v>264</v>
      </c>
      <c r="N10" s="622" t="s">
        <v>265</v>
      </c>
      <c r="O10" s="692" t="s">
        <v>266</v>
      </c>
      <c r="P10" s="3"/>
      <c r="Q10" s="673" t="s">
        <v>207</v>
      </c>
      <c r="R10" s="674"/>
      <c r="S10" s="675"/>
      <c r="T10" s="3"/>
      <c r="U10" s="3"/>
      <c r="V10" s="3"/>
      <c r="W10" s="3"/>
      <c r="X10" s="3"/>
      <c r="Y10" s="3"/>
      <c r="Z10" s="3"/>
    </row>
    <row r="11" spans="1:26" s="138" customFormat="1" ht="13.9" customHeight="1" x14ac:dyDescent="0.15">
      <c r="A11" s="262" t="s">
        <v>16</v>
      </c>
      <c r="B11" s="263" t="s">
        <v>11</v>
      </c>
      <c r="C11" s="263" t="s">
        <v>12</v>
      </c>
      <c r="D11" s="263" t="s">
        <v>13</v>
      </c>
      <c r="E11" s="679" t="s">
        <v>14</v>
      </c>
      <c r="F11" s="680"/>
      <c r="G11" s="263" t="s">
        <v>15</v>
      </c>
      <c r="H11" s="264" t="s">
        <v>218</v>
      </c>
      <c r="I11" s="267"/>
      <c r="J11" s="617"/>
      <c r="K11" s="620"/>
      <c r="L11" s="623"/>
      <c r="M11" s="623"/>
      <c r="N11" s="623"/>
      <c r="O11" s="693"/>
      <c r="P11" s="137"/>
      <c r="Q11" s="676"/>
      <c r="R11" s="677"/>
      <c r="S11" s="678"/>
      <c r="T11" s="137"/>
      <c r="U11" s="137"/>
      <c r="V11" s="137"/>
      <c r="W11" s="137"/>
      <c r="X11" s="137"/>
      <c r="Y11" s="137"/>
      <c r="Z11" s="137"/>
    </row>
    <row r="12" spans="1:26" x14ac:dyDescent="0.2">
      <c r="A12" s="250">
        <f>VLOOKUP($G$8,'[1]Lohntab-Tab-retr.'!$A$7:$O$15,10,FALSE)</f>
        <v>1477.83</v>
      </c>
      <c r="B12" s="251">
        <f>VLOOKUP($G$8,'[1]Lohntab-Tab-retr.'!$A$21:$O$29,10,FALSE)</f>
        <v>532.54</v>
      </c>
      <c r="C12" s="251">
        <f>I8*VLOOKUP($G$8,'[1]Lohntab-Tab-retr.'!$A$63:$O$71,10,FALSE)</f>
        <v>45.66</v>
      </c>
      <c r="D12" s="251">
        <f>VLOOKUP($G$8,'[1]Lohntab-Tab-retr.'!$A$35:$O$43,10,FALSE)</f>
        <v>0</v>
      </c>
      <c r="E12" s="695">
        <f>VLOOKUP($G$8,'[1]Lohntab-Tab-retr.'!$A$49:$O$57,10,FALSE)</f>
        <v>8</v>
      </c>
      <c r="F12" s="695"/>
      <c r="G12" s="251">
        <f>VLOOKUP($P$3,'[1]Mit-2'!$A$24:$P$38,11,FALSE)</f>
        <v>300</v>
      </c>
      <c r="H12" s="251">
        <f>VLOOKUP($G$8,'[1]Lohntab-Tab-retr.'!$A$77:$O$85,10,FALSE)</f>
        <v>0</v>
      </c>
      <c r="I12" s="252"/>
      <c r="J12" s="617"/>
      <c r="K12" s="620"/>
      <c r="L12" s="623"/>
      <c r="M12" s="623"/>
      <c r="N12" s="623"/>
      <c r="O12" s="69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8" customFormat="1" ht="13.9" customHeight="1" x14ac:dyDescent="0.15">
      <c r="A13" s="247" t="s">
        <v>17</v>
      </c>
      <c r="B13" s="248" t="s">
        <v>18</v>
      </c>
      <c r="C13" s="248" t="s">
        <v>19</v>
      </c>
      <c r="D13" s="248" t="s">
        <v>20</v>
      </c>
      <c r="E13" s="696" t="s">
        <v>24</v>
      </c>
      <c r="F13" s="697"/>
      <c r="G13" s="248" t="s">
        <v>23</v>
      </c>
      <c r="H13" s="249" t="s">
        <v>21</v>
      </c>
      <c r="I13" s="256" t="s">
        <v>22</v>
      </c>
      <c r="J13" s="617"/>
      <c r="K13" s="620"/>
      <c r="L13" s="623"/>
      <c r="M13" s="623"/>
      <c r="N13" s="623"/>
      <c r="O13" s="693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">
      <c r="A14" s="257">
        <f>[1]Tab!G140</f>
        <v>168</v>
      </c>
      <c r="B14" s="338">
        <f>[1]Tab!G141</f>
        <v>26</v>
      </c>
      <c r="C14" s="260">
        <f>ROUND(I14/A14,5)</f>
        <v>14.07161</v>
      </c>
      <c r="D14" s="260">
        <f>ROUND(I14/B14,5)</f>
        <v>90.924229999999994</v>
      </c>
      <c r="E14" s="698">
        <f>COUNT(K19:K49)</f>
        <v>0</v>
      </c>
      <c r="F14" s="698"/>
      <c r="G14" s="338">
        <f>K50</f>
        <v>0</v>
      </c>
      <c r="H14" s="338">
        <v>26</v>
      </c>
      <c r="I14" s="261">
        <f>SUM(A12:I12)</f>
        <v>2364.0299999999997</v>
      </c>
      <c r="J14" s="617"/>
      <c r="K14" s="620"/>
      <c r="L14" s="623"/>
      <c r="M14" s="623"/>
      <c r="N14" s="623"/>
      <c r="O14" s="693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s="138" customFormat="1" ht="13.9" customHeight="1" x14ac:dyDescent="0.15">
      <c r="A15" s="253" t="s">
        <v>26</v>
      </c>
      <c r="B15" s="254" t="s">
        <v>27</v>
      </c>
      <c r="C15" s="254" t="s">
        <v>25</v>
      </c>
      <c r="D15" s="254" t="s">
        <v>259</v>
      </c>
      <c r="E15" s="699" t="s">
        <v>260</v>
      </c>
      <c r="F15" s="700"/>
      <c r="G15" s="254" t="s">
        <v>261</v>
      </c>
      <c r="H15" s="213"/>
      <c r="I15" s="255"/>
      <c r="J15" s="617"/>
      <c r="K15" s="620"/>
      <c r="L15" s="623"/>
      <c r="M15" s="623"/>
      <c r="N15" s="623"/>
      <c r="O15" s="693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">
      <c r="A16" s="572">
        <f>'07'!A16+(VLOOKUP($P$3,'[1]Mit-2'!$A$90:$P$104,11,FALSE))*G9%</f>
        <v>14.43</v>
      </c>
      <c r="B16" s="569">
        <f>M50</f>
        <v>0</v>
      </c>
      <c r="C16" s="569">
        <f>A16-B16</f>
        <v>14.43</v>
      </c>
      <c r="D16" s="569">
        <f>'07'!D16+(VLOOKUP($P$3,'[1]Mit-2'!$A$90:$AD$104,25,FALSE))*G9%</f>
        <v>2.6666699999999999</v>
      </c>
      <c r="E16" s="672">
        <f>N50</f>
        <v>0</v>
      </c>
      <c r="F16" s="672"/>
      <c r="G16" s="569">
        <f>D16-E16</f>
        <v>2.6666699999999999</v>
      </c>
      <c r="H16" s="214"/>
      <c r="I16" s="266"/>
      <c r="J16" s="617"/>
      <c r="K16" s="620"/>
      <c r="L16" s="623"/>
      <c r="M16" s="623"/>
      <c r="N16" s="623"/>
      <c r="O16" s="69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.75" customHeight="1" x14ac:dyDescent="0.2">
      <c r="A17" s="246"/>
      <c r="B17" s="33"/>
      <c r="C17" s="33"/>
      <c r="D17" s="33"/>
      <c r="E17" s="33"/>
      <c r="F17" s="33"/>
      <c r="G17" s="33"/>
      <c r="H17" s="33"/>
      <c r="I17" s="39"/>
      <c r="J17" s="617"/>
      <c r="K17" s="620"/>
      <c r="L17" s="623"/>
      <c r="M17" s="623"/>
      <c r="N17" s="623"/>
      <c r="O17" s="69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s="134" customFormat="1" ht="16.899999999999999" customHeight="1" x14ac:dyDescent="0.15">
      <c r="A18" s="240" t="s">
        <v>28</v>
      </c>
      <c r="B18" s="241"/>
      <c r="C18" s="241"/>
      <c r="D18" s="140"/>
      <c r="E18" s="670" t="s">
        <v>29</v>
      </c>
      <c r="F18" s="671"/>
      <c r="G18" s="143" t="s">
        <v>31</v>
      </c>
      <c r="H18" s="128" t="s">
        <v>30</v>
      </c>
      <c r="I18" s="144" t="s">
        <v>233</v>
      </c>
      <c r="J18" s="618"/>
      <c r="K18" s="621"/>
      <c r="L18" s="624"/>
      <c r="M18" s="624"/>
      <c r="N18" s="624"/>
      <c r="O18" s="694"/>
      <c r="P18" s="141"/>
      <c r="V18" s="142"/>
      <c r="W18" s="142"/>
      <c r="X18" s="142"/>
      <c r="Y18" s="141"/>
      <c r="Z18" s="141"/>
    </row>
    <row r="19" spans="1:26" ht="12" customHeight="1" x14ac:dyDescent="0.2">
      <c r="A19" s="668"/>
      <c r="B19" s="669"/>
      <c r="C19" s="669"/>
      <c r="D19" s="547"/>
      <c r="E19" s="548"/>
      <c r="F19" s="549"/>
      <c r="G19" s="294">
        <f>VLOOKUP(A19,A66:F121,5,FALSE)</f>
        <v>0</v>
      </c>
      <c r="H19" s="414">
        <f>IF(E19="",0,IF(A19="",0,IF(E19="Std-ore",ROUND(C$14+C$14*G19,5),IF(E19="Tage-gg.",ROUND(D$14+D$14*G19,5),IF(E19="Monat-mese",ROUND($I$14+$I$14*G19,2))))))</f>
        <v>0</v>
      </c>
      <c r="I19" s="222">
        <f>ROUND(H19*F19,2)</f>
        <v>0</v>
      </c>
      <c r="J19" s="409">
        <v>1</v>
      </c>
      <c r="K19" s="539"/>
      <c r="L19" s="540"/>
      <c r="M19" s="540"/>
      <c r="N19" s="540"/>
      <c r="O19" s="541"/>
      <c r="P19" s="9"/>
      <c r="V19" s="3"/>
      <c r="W19" s="3"/>
      <c r="X19" s="3"/>
      <c r="Y19" s="10"/>
      <c r="Z19" s="9"/>
    </row>
    <row r="20" spans="1:26" ht="12" customHeight="1" x14ac:dyDescent="0.2">
      <c r="A20" s="661"/>
      <c r="B20" s="662"/>
      <c r="C20" s="662"/>
      <c r="D20" s="550"/>
      <c r="E20" s="551"/>
      <c r="F20" s="552"/>
      <c r="G20" s="294">
        <f>VLOOKUP(A20,A67:F122,5,FALSE)</f>
        <v>0</v>
      </c>
      <c r="H20" s="414">
        <f t="shared" ref="H20:H28" si="0">IF(E20="",0,IF(A20="",0,IF(E20="Std-ore",ROUND(C$14+C$14*G20,5),IF(E20="Tage-gg.",ROUND(D$14+D$14*G20,5),IF(E20="Monat-mese",ROUND($I$14+$I$14*G20,2))))))</f>
        <v>0</v>
      </c>
      <c r="I20" s="223">
        <f t="shared" ref="I20:I28" si="1">IF(A20="Abzug Bruttoberechnung Krankengeld INPS",ROUND(I19*G20,2),ROUND(H20*F20,2))</f>
        <v>0</v>
      </c>
      <c r="J20" s="410">
        <v>2</v>
      </c>
      <c r="K20" s="542"/>
      <c r="L20" s="543"/>
      <c r="M20" s="543"/>
      <c r="N20" s="543"/>
      <c r="O20" s="544"/>
      <c r="P20" s="9"/>
      <c r="V20" s="32"/>
      <c r="W20" s="9"/>
    </row>
    <row r="21" spans="1:26" ht="12" customHeight="1" x14ac:dyDescent="0.2">
      <c r="A21" s="661"/>
      <c r="B21" s="662"/>
      <c r="C21" s="662"/>
      <c r="D21" s="550"/>
      <c r="E21" s="551"/>
      <c r="F21" s="552"/>
      <c r="G21" s="294">
        <f>VLOOKUP(A21,A66:F121,5,FALSE)</f>
        <v>0</v>
      </c>
      <c r="H21" s="414">
        <f t="shared" si="0"/>
        <v>0</v>
      </c>
      <c r="I21" s="223">
        <f t="shared" si="1"/>
        <v>0</v>
      </c>
      <c r="J21" s="410">
        <v>3</v>
      </c>
      <c r="K21" s="542"/>
      <c r="L21" s="543"/>
      <c r="M21" s="543"/>
      <c r="N21" s="543"/>
      <c r="O21" s="544"/>
      <c r="P21" s="9"/>
      <c r="V21" s="32"/>
      <c r="W21" s="9"/>
    </row>
    <row r="22" spans="1:26" ht="12" customHeight="1" x14ac:dyDescent="0.2">
      <c r="A22" s="661"/>
      <c r="B22" s="662"/>
      <c r="C22" s="662"/>
      <c r="D22" s="550"/>
      <c r="E22" s="551"/>
      <c r="F22" s="552"/>
      <c r="G22" s="294">
        <f>VLOOKUP(A22,A67:F122,5,FALSE)</f>
        <v>0</v>
      </c>
      <c r="H22" s="414">
        <f>IF(E22="",0,IF(A22="",0,IF(E22="Std-ore",ROUND(C$14+C$14*G22,5),IF(E22="Tage-gg.",ROUND(D$14+D$14*G22,5),IF(E22="Monat-mese",ROUND($I$14+$I$14*G22,2))))))</f>
        <v>0</v>
      </c>
      <c r="I22" s="223">
        <f t="shared" si="1"/>
        <v>0</v>
      </c>
      <c r="J22" s="411">
        <v>4</v>
      </c>
      <c r="K22" s="542"/>
      <c r="L22" s="543"/>
      <c r="M22" s="543"/>
      <c r="N22" s="543"/>
      <c r="O22" s="544"/>
      <c r="P22" s="9"/>
      <c r="V22" s="32"/>
      <c r="W22" s="9"/>
    </row>
    <row r="23" spans="1:26" ht="12" customHeight="1" x14ac:dyDescent="0.2">
      <c r="A23" s="661"/>
      <c r="B23" s="662"/>
      <c r="C23" s="662"/>
      <c r="D23" s="550"/>
      <c r="E23" s="551"/>
      <c r="F23" s="552"/>
      <c r="G23" s="294">
        <f t="shared" ref="G23:G28" si="2">VLOOKUP(A23,A67:F122,5,FALSE)</f>
        <v>0</v>
      </c>
      <c r="H23" s="414">
        <f>IF(E23="",0,IF(A23="",0,IF(E23="Std-ore",ROUND(C$14+C$14*G23,5),IF(E23="Tage-gg.",ROUND(D$14+D$14*G23,5),IF(E23="Monat-mese",ROUND($I$14+$I$14*G23,2))))))</f>
        <v>0</v>
      </c>
      <c r="I23" s="223">
        <f t="shared" si="1"/>
        <v>0</v>
      </c>
      <c r="J23" s="410">
        <v>5</v>
      </c>
      <c r="K23" s="542"/>
      <c r="L23" s="543"/>
      <c r="M23" s="543"/>
      <c r="N23" s="543"/>
      <c r="O23" s="544"/>
      <c r="P23" s="9"/>
      <c r="V23" s="32"/>
      <c r="W23" s="9"/>
    </row>
    <row r="24" spans="1:26" ht="12" customHeight="1" x14ac:dyDescent="0.2">
      <c r="A24" s="661"/>
      <c r="B24" s="662"/>
      <c r="C24" s="662"/>
      <c r="D24" s="550"/>
      <c r="E24" s="551"/>
      <c r="F24" s="552"/>
      <c r="G24" s="294">
        <f t="shared" si="2"/>
        <v>0</v>
      </c>
      <c r="H24" s="414">
        <f t="shared" si="0"/>
        <v>0</v>
      </c>
      <c r="I24" s="223">
        <f t="shared" si="1"/>
        <v>0</v>
      </c>
      <c r="J24" s="411">
        <v>6</v>
      </c>
      <c r="K24" s="542"/>
      <c r="L24" s="543"/>
      <c r="M24" s="543"/>
      <c r="N24" s="543"/>
      <c r="O24" s="544"/>
      <c r="P24" s="9"/>
      <c r="V24" s="32"/>
      <c r="W24" s="9"/>
    </row>
    <row r="25" spans="1:26" ht="12" customHeight="1" x14ac:dyDescent="0.2">
      <c r="A25" s="661"/>
      <c r="B25" s="662"/>
      <c r="C25" s="662"/>
      <c r="D25" s="550"/>
      <c r="E25" s="551"/>
      <c r="F25" s="552"/>
      <c r="G25" s="294">
        <f t="shared" si="2"/>
        <v>0</v>
      </c>
      <c r="H25" s="414">
        <f t="shared" si="0"/>
        <v>0</v>
      </c>
      <c r="I25" s="223">
        <f t="shared" si="1"/>
        <v>0</v>
      </c>
      <c r="J25" s="410">
        <v>7</v>
      </c>
      <c r="K25" s="542"/>
      <c r="L25" s="543"/>
      <c r="M25" s="543"/>
      <c r="N25" s="543"/>
      <c r="O25" s="544"/>
      <c r="P25" s="9"/>
      <c r="W25" s="9"/>
    </row>
    <row r="26" spans="1:26" ht="12" customHeight="1" x14ac:dyDescent="0.2">
      <c r="A26" s="661"/>
      <c r="B26" s="662"/>
      <c r="C26" s="662"/>
      <c r="D26" s="550"/>
      <c r="E26" s="551"/>
      <c r="F26" s="552"/>
      <c r="G26" s="294">
        <f t="shared" si="2"/>
        <v>0</v>
      </c>
      <c r="H26" s="414">
        <f t="shared" si="0"/>
        <v>0</v>
      </c>
      <c r="I26" s="223">
        <f t="shared" si="1"/>
        <v>0</v>
      </c>
      <c r="J26" s="411">
        <v>8</v>
      </c>
      <c r="K26" s="542"/>
      <c r="L26" s="543"/>
      <c r="M26" s="543"/>
      <c r="N26" s="543"/>
      <c r="O26" s="544"/>
      <c r="P26" s="9"/>
      <c r="W26" s="9"/>
    </row>
    <row r="27" spans="1:26" ht="12" customHeight="1" x14ac:dyDescent="0.2">
      <c r="A27" s="661"/>
      <c r="B27" s="662"/>
      <c r="C27" s="662"/>
      <c r="D27" s="550"/>
      <c r="E27" s="551"/>
      <c r="F27" s="552"/>
      <c r="G27" s="294">
        <f t="shared" si="2"/>
        <v>0</v>
      </c>
      <c r="H27" s="414">
        <f t="shared" si="0"/>
        <v>0</v>
      </c>
      <c r="I27" s="223">
        <f t="shared" si="1"/>
        <v>0</v>
      </c>
      <c r="J27" s="410">
        <v>9</v>
      </c>
      <c r="K27" s="542"/>
      <c r="L27" s="543"/>
      <c r="M27" s="543"/>
      <c r="N27" s="543"/>
      <c r="O27" s="544"/>
      <c r="P27" s="9"/>
    </row>
    <row r="28" spans="1:26" ht="12" customHeight="1" x14ac:dyDescent="0.2">
      <c r="A28" s="661"/>
      <c r="B28" s="662"/>
      <c r="C28" s="662"/>
      <c r="D28" s="550"/>
      <c r="E28" s="551"/>
      <c r="F28" s="552"/>
      <c r="G28" s="294">
        <f t="shared" si="2"/>
        <v>0</v>
      </c>
      <c r="H28" s="414">
        <f t="shared" si="0"/>
        <v>0</v>
      </c>
      <c r="I28" s="223">
        <f t="shared" si="1"/>
        <v>0</v>
      </c>
      <c r="J28" s="411">
        <v>10</v>
      </c>
      <c r="K28" s="542"/>
      <c r="L28" s="543"/>
      <c r="M28" s="543"/>
      <c r="N28" s="543"/>
      <c r="O28" s="544"/>
      <c r="P28" s="9"/>
    </row>
    <row r="29" spans="1:26" ht="12" customHeight="1" x14ac:dyDescent="0.2">
      <c r="A29" s="178" t="s">
        <v>109</v>
      </c>
      <c r="B29" s="76"/>
      <c r="C29" s="76"/>
      <c r="D29" s="76"/>
      <c r="E29" s="76"/>
      <c r="F29" s="77"/>
      <c r="G29" s="76"/>
      <c r="H29" s="76"/>
      <c r="I29" s="225">
        <f>SUM(I19:I28)</f>
        <v>0</v>
      </c>
      <c r="J29" s="410">
        <v>11</v>
      </c>
      <c r="K29" s="542"/>
      <c r="L29" s="543"/>
      <c r="M29" s="543"/>
      <c r="N29" s="545"/>
      <c r="O29" s="546"/>
      <c r="P29" s="13"/>
    </row>
    <row r="30" spans="1:26" ht="12" customHeight="1" x14ac:dyDescent="0.2">
      <c r="A30" s="300" t="s">
        <v>236</v>
      </c>
      <c r="B30" s="61"/>
      <c r="C30" s="79"/>
      <c r="D30" s="79"/>
      <c r="E30" s="79"/>
      <c r="F30" s="146" t="s">
        <v>55</v>
      </c>
      <c r="G30" s="110">
        <f>ROUND(I29,0)</f>
        <v>0</v>
      </c>
      <c r="H30" s="242">
        <f>'[1]Mit-1'!$C$21</f>
        <v>9.1899999999999996E-2</v>
      </c>
      <c r="I30" s="222">
        <f>-ROUND(G30*H30,2)</f>
        <v>0</v>
      </c>
      <c r="J30" s="411">
        <v>12</v>
      </c>
      <c r="K30" s="542"/>
      <c r="L30" s="543"/>
      <c r="M30" s="543"/>
      <c r="N30" s="543"/>
      <c r="O30" s="544"/>
      <c r="P30" s="3"/>
      <c r="Z30" s="3"/>
    </row>
    <row r="31" spans="1:26" ht="12" customHeight="1" x14ac:dyDescent="0.2">
      <c r="A31" s="148" t="s">
        <v>237</v>
      </c>
      <c r="B31" s="81"/>
      <c r="C31" s="82"/>
      <c r="D31" s="82"/>
      <c r="E31" s="82"/>
      <c r="F31" s="147" t="s">
        <v>55</v>
      </c>
      <c r="G31" s="80">
        <f>ROUND(I29,2)</f>
        <v>0</v>
      </c>
      <c r="H31" s="243">
        <f>VLOOKUP($P$3,'[1]Mit-1'!$A$5:$U$19,19,FALSE)</f>
        <v>1.23E-2</v>
      </c>
      <c r="I31" s="223">
        <f>-ROUND(G31*H31,2)</f>
        <v>0</v>
      </c>
      <c r="J31" s="410">
        <v>13</v>
      </c>
      <c r="K31" s="542"/>
      <c r="L31" s="543"/>
      <c r="M31" s="543"/>
      <c r="N31" s="543"/>
      <c r="O31" s="544"/>
      <c r="P31" s="3"/>
      <c r="Z31" s="3"/>
    </row>
    <row r="32" spans="1:26" ht="12" customHeight="1" x14ac:dyDescent="0.2">
      <c r="A32" s="148" t="s">
        <v>234</v>
      </c>
      <c r="B32" s="81"/>
      <c r="C32" s="82"/>
      <c r="D32" s="82"/>
      <c r="E32" s="82"/>
      <c r="F32" s="147" t="s">
        <v>55</v>
      </c>
      <c r="G32" s="438">
        <f>IF(I29=0,0,IF(R9&gt;0,SUM(A12:B12)/T9*R9,SUM(A12:B12)))</f>
        <v>0</v>
      </c>
      <c r="H32" s="243">
        <f>'[1]Mit-1'!$I$21</f>
        <v>1E-3</v>
      </c>
      <c r="I32" s="223">
        <f>-ROUND(G32*H32,2)</f>
        <v>0</v>
      </c>
      <c r="J32" s="411">
        <v>14</v>
      </c>
      <c r="K32" s="542"/>
      <c r="L32" s="543"/>
      <c r="M32" s="543"/>
      <c r="N32" s="543"/>
      <c r="O32" s="544"/>
      <c r="P32" s="3"/>
      <c r="Z32" s="3"/>
    </row>
    <row r="33" spans="1:26" ht="12" customHeight="1" x14ac:dyDescent="0.2">
      <c r="A33" s="148" t="s">
        <v>235</v>
      </c>
      <c r="B33" s="81"/>
      <c r="C33" s="82"/>
      <c r="D33" s="82"/>
      <c r="E33" s="82"/>
      <c r="F33" s="147" t="s">
        <v>55</v>
      </c>
      <c r="G33" s="80">
        <f>G30</f>
        <v>0</v>
      </c>
      <c r="H33" s="243">
        <f>'[1]Mit-1'!$I$23</f>
        <v>4.0000000000000001E-3</v>
      </c>
      <c r="I33" s="223">
        <f>-ROUND(G33*H33,2)</f>
        <v>0</v>
      </c>
      <c r="J33" s="410">
        <v>15</v>
      </c>
      <c r="K33" s="542"/>
      <c r="L33" s="543"/>
      <c r="M33" s="543"/>
      <c r="N33" s="543"/>
      <c r="O33" s="544"/>
      <c r="P33" s="3"/>
      <c r="Z33" s="3"/>
    </row>
    <row r="34" spans="1:26" ht="12" customHeight="1" x14ac:dyDescent="0.2">
      <c r="A34" s="148" t="s">
        <v>258</v>
      </c>
      <c r="B34" s="81"/>
      <c r="C34" s="82"/>
      <c r="D34" s="82"/>
      <c r="E34" s="82"/>
      <c r="F34" s="519"/>
      <c r="G34" s="58"/>
      <c r="H34" s="520"/>
      <c r="I34" s="223">
        <f>-IF(I29=0,0,'[1]Mit-1'!$I$25)</f>
        <v>0</v>
      </c>
      <c r="J34" s="411">
        <v>16</v>
      </c>
      <c r="K34" s="542"/>
      <c r="L34" s="543"/>
      <c r="M34" s="543"/>
      <c r="N34" s="543"/>
      <c r="O34" s="544"/>
      <c r="P34" s="3"/>
      <c r="Z34" s="3"/>
    </row>
    <row r="35" spans="1:26" ht="12" customHeight="1" x14ac:dyDescent="0.2">
      <c r="A35" s="148" t="s">
        <v>110</v>
      </c>
      <c r="B35" s="83"/>
      <c r="C35" s="83"/>
      <c r="D35" s="83"/>
      <c r="E35" s="83"/>
      <c r="F35" s="83"/>
      <c r="G35" s="84"/>
      <c r="H35" s="85"/>
      <c r="I35" s="223">
        <f ca="1">-SUMIF($A$19:$C$28,"Krankheit INPS-Anteil*",$I$19:$I$28)</f>
        <v>0</v>
      </c>
      <c r="J35" s="410">
        <v>17</v>
      </c>
      <c r="K35" s="542"/>
      <c r="L35" s="543"/>
      <c r="M35" s="543"/>
      <c r="N35" s="543"/>
      <c r="O35" s="544"/>
      <c r="P35" s="9"/>
      <c r="Y35" s="9"/>
      <c r="Z35" s="9"/>
    </row>
    <row r="36" spans="1:26" ht="12" customHeight="1" x14ac:dyDescent="0.2">
      <c r="A36" s="148" t="s">
        <v>111</v>
      </c>
      <c r="B36" s="83"/>
      <c r="C36" s="83"/>
      <c r="D36" s="83"/>
      <c r="E36" s="83"/>
      <c r="F36" s="83"/>
      <c r="G36" s="84"/>
      <c r="H36" s="85"/>
      <c r="I36" s="223">
        <f ca="1">-SUMIF($A$19:$C$28,"Mutterschaft INPS-Anteil*",$I$19:$I$28)</f>
        <v>0</v>
      </c>
      <c r="J36" s="411">
        <v>18</v>
      </c>
      <c r="K36" s="542"/>
      <c r="L36" s="543"/>
      <c r="M36" s="543"/>
      <c r="N36" s="543"/>
      <c r="O36" s="544"/>
      <c r="P36" s="9"/>
      <c r="Y36" s="9"/>
      <c r="Z36" s="9"/>
    </row>
    <row r="37" spans="1:26" ht="12" customHeight="1" x14ac:dyDescent="0.2">
      <c r="A37" s="151" t="s">
        <v>112</v>
      </c>
      <c r="B37" s="14"/>
      <c r="C37" s="14"/>
      <c r="D37" s="14"/>
      <c r="E37" s="14"/>
      <c r="F37" s="14"/>
      <c r="G37" s="15"/>
      <c r="H37" s="58">
        <f>ROUND(IF(I29=0,0,VLOOKUP($P$3,'[1]Mit-1'!$A$5:$AD$19,12,FALSE)),2)</f>
        <v>0</v>
      </c>
      <c r="I37" s="571"/>
      <c r="J37" s="410">
        <v>19</v>
      </c>
      <c r="K37" s="542"/>
      <c r="L37" s="543"/>
      <c r="M37" s="543"/>
      <c r="N37" s="543"/>
      <c r="O37" s="544"/>
      <c r="P37" s="9"/>
      <c r="Y37" s="9"/>
      <c r="Z37" s="9"/>
    </row>
    <row r="38" spans="1:26" ht="12" customHeight="1" x14ac:dyDescent="0.2">
      <c r="A38" s="155" t="s">
        <v>113</v>
      </c>
      <c r="B38" s="14"/>
      <c r="C38" s="14"/>
      <c r="D38" s="14"/>
      <c r="E38" s="14"/>
      <c r="F38" s="14"/>
      <c r="G38" s="15"/>
      <c r="H38" s="335">
        <f ca="1">IF(SUM(I29:I37)-H37&lt;0,0,SUM(I29:I36)-H37)</f>
        <v>0</v>
      </c>
      <c r="I38" s="235"/>
      <c r="J38" s="411">
        <v>20</v>
      </c>
      <c r="K38" s="542"/>
      <c r="L38" s="543"/>
      <c r="M38" s="543"/>
      <c r="N38" s="543"/>
      <c r="O38" s="544"/>
      <c r="P38" s="9"/>
      <c r="Y38" s="9"/>
      <c r="Z38" s="9"/>
    </row>
    <row r="39" spans="1:26" s="63" customFormat="1" ht="12" customHeight="1" x14ac:dyDescent="0.2">
      <c r="A39" s="300" t="s">
        <v>143</v>
      </c>
      <c r="B39" s="98"/>
      <c r="C39" s="98"/>
      <c r="D39" s="98"/>
      <c r="E39" s="98"/>
      <c r="F39" s="98"/>
      <c r="G39" s="98"/>
      <c r="H39" s="337">
        <f ca="1">-U50</f>
        <v>0</v>
      </c>
      <c r="I39" s="230"/>
      <c r="J39" s="410">
        <v>21</v>
      </c>
      <c r="K39" s="542"/>
      <c r="L39" s="543"/>
      <c r="M39" s="543"/>
      <c r="N39" s="543"/>
      <c r="O39" s="544"/>
      <c r="P39" s="74"/>
      <c r="R39" s="309"/>
      <c r="V39" s="88"/>
      <c r="W39" s="74"/>
      <c r="X39" s="74"/>
      <c r="Y39" s="74"/>
      <c r="Z39" s="74"/>
    </row>
    <row r="40" spans="1:26" s="63" customFormat="1" ht="12" customHeight="1" x14ac:dyDescent="0.2">
      <c r="A40" s="148" t="s">
        <v>144</v>
      </c>
      <c r="B40" s="83"/>
      <c r="C40" s="83"/>
      <c r="D40" s="83"/>
      <c r="E40" s="83"/>
      <c r="F40" s="83"/>
      <c r="G40" s="83"/>
      <c r="H40" s="340">
        <f>ROUND(IF(I29=0,0,VLOOKUP($P$3,'[1]Mit-1'!$A$5:$AB$19,14,FALSE)/[1]Firma!$B$24*IF(R9=0,T9,R9)),2)</f>
        <v>0</v>
      </c>
      <c r="I40" s="227"/>
      <c r="J40" s="411">
        <v>22</v>
      </c>
      <c r="K40" s="542"/>
      <c r="L40" s="543"/>
      <c r="M40" s="543"/>
      <c r="N40" s="543"/>
      <c r="O40" s="544"/>
      <c r="P40" s="74"/>
      <c r="Q40" s="313"/>
      <c r="R40" s="309"/>
      <c r="S40" s="310"/>
      <c r="T40" s="311"/>
      <c r="U40" s="312"/>
      <c r="V40" s="88"/>
      <c r="W40" s="74"/>
      <c r="X40" s="74"/>
      <c r="Y40" s="74"/>
      <c r="Z40" s="74"/>
    </row>
    <row r="41" spans="1:26" s="63" customFormat="1" ht="12" customHeight="1" x14ac:dyDescent="0.2">
      <c r="A41" s="159" t="s">
        <v>145</v>
      </c>
      <c r="B41" s="314"/>
      <c r="C41" s="314"/>
      <c r="D41" s="314"/>
      <c r="E41" s="314"/>
      <c r="F41" s="314"/>
      <c r="G41" s="314"/>
      <c r="H41" s="340">
        <f>ROUND(IF(I29=0,0,VLOOKUP($P$3,'[1]Mit-2'!$A$46:$P$60,3,FALSE)/12),2)</f>
        <v>0</v>
      </c>
      <c r="I41" s="389"/>
      <c r="J41" s="410">
        <v>23</v>
      </c>
      <c r="K41" s="542"/>
      <c r="L41" s="543"/>
      <c r="M41" s="543"/>
      <c r="N41" s="543"/>
      <c r="O41" s="544"/>
      <c r="P41" s="74"/>
      <c r="Q41" s="627" t="s">
        <v>4</v>
      </c>
      <c r="R41" s="628"/>
      <c r="S41" s="629" t="s">
        <v>7</v>
      </c>
      <c r="T41" s="633" t="s">
        <v>5</v>
      </c>
      <c r="U41" s="625" t="s">
        <v>2</v>
      </c>
      <c r="V41" s="88"/>
      <c r="W41" s="74"/>
      <c r="X41" s="74"/>
      <c r="Y41" s="74"/>
      <c r="Z41" s="74"/>
    </row>
    <row r="42" spans="1:26" s="63" customFormat="1" ht="12" customHeight="1" x14ac:dyDescent="0.2">
      <c r="A42" s="157" t="s">
        <v>146</v>
      </c>
      <c r="B42" s="89"/>
      <c r="C42" s="89"/>
      <c r="D42" s="89"/>
      <c r="E42" s="89"/>
      <c r="F42" s="89"/>
      <c r="G42" s="89"/>
      <c r="H42" s="90"/>
      <c r="I42" s="228">
        <f ca="1">IF(SUM(H39:H41)&gt;=0,0,SUM(H39:H41))</f>
        <v>0</v>
      </c>
      <c r="J42" s="411">
        <v>24</v>
      </c>
      <c r="K42" s="542"/>
      <c r="L42" s="543"/>
      <c r="M42" s="543"/>
      <c r="N42" s="543"/>
      <c r="O42" s="544"/>
      <c r="P42" s="74"/>
      <c r="Q42" s="664"/>
      <c r="R42" s="665"/>
      <c r="S42" s="667"/>
      <c r="T42" s="666"/>
      <c r="U42" s="663"/>
      <c r="V42" s="88"/>
      <c r="W42" s="74"/>
      <c r="X42" s="74"/>
      <c r="Y42" s="74"/>
      <c r="Z42" s="74"/>
    </row>
    <row r="43" spans="1:26" ht="12" customHeight="1" x14ac:dyDescent="0.2">
      <c r="A43" s="154" t="s">
        <v>141</v>
      </c>
      <c r="B43" s="305"/>
      <c r="C43" s="14"/>
      <c r="D43" s="306"/>
      <c r="E43" s="721"/>
      <c r="F43" s="722"/>
      <c r="G43" s="307"/>
      <c r="H43" s="308" t="s">
        <v>33</v>
      </c>
      <c r="I43" s="231"/>
      <c r="J43" s="410">
        <v>25</v>
      </c>
      <c r="K43" s="542"/>
      <c r="L43" s="543"/>
      <c r="M43" s="543"/>
      <c r="N43" s="543"/>
      <c r="O43" s="544"/>
      <c r="P43" s="9"/>
      <c r="Q43" s="121" t="s">
        <v>0</v>
      </c>
      <c r="R43" s="122" t="s">
        <v>1</v>
      </c>
      <c r="S43" s="630"/>
      <c r="T43" s="634"/>
      <c r="U43" s="626"/>
      <c r="V43" s="12"/>
      <c r="W43" s="9"/>
      <c r="X43" s="9"/>
      <c r="Y43" s="9"/>
      <c r="Z43" s="9"/>
    </row>
    <row r="44" spans="1:26" ht="12" customHeight="1" x14ac:dyDescent="0.2">
      <c r="A44" s="150" t="s">
        <v>114</v>
      </c>
      <c r="B44" s="19"/>
      <c r="C44" s="11"/>
      <c r="D44" s="20"/>
      <c r="E44" s="719"/>
      <c r="F44" s="720"/>
      <c r="G44" s="93"/>
      <c r="H44" s="537"/>
      <c r="I44" s="237">
        <f>-H44</f>
        <v>0</v>
      </c>
      <c r="J44" s="411">
        <v>26</v>
      </c>
      <c r="K44" s="542"/>
      <c r="L44" s="543"/>
      <c r="M44" s="543"/>
      <c r="N44" s="543"/>
      <c r="O44" s="544"/>
      <c r="P44" s="9"/>
      <c r="Q44" s="116">
        <f>[1]Tab!E8</f>
        <v>0</v>
      </c>
      <c r="R44" s="111">
        <f>[1]Tab!F8</f>
        <v>1250</v>
      </c>
      <c r="S44" s="112">
        <f>[1]Tab!G8</f>
        <v>0.23</v>
      </c>
      <c r="T44" s="113">
        <f>ROUND(R44*S44,2)</f>
        <v>287.5</v>
      </c>
      <c r="U44" s="113">
        <f ca="1">ROUND(IF(AND($H$38&lt;=R44,$H$38&gt;0),$H$38*S44,0),2)</f>
        <v>0</v>
      </c>
      <c r="V44" s="12"/>
      <c r="W44" s="9"/>
      <c r="X44" s="9"/>
      <c r="Y44" s="9"/>
      <c r="Z44" s="9"/>
    </row>
    <row r="45" spans="1:26" s="3" customFormat="1" ht="12" customHeight="1" x14ac:dyDescent="0.2">
      <c r="A45" s="161" t="s">
        <v>115</v>
      </c>
      <c r="B45" s="22"/>
      <c r="C45" s="163" t="s">
        <v>225</v>
      </c>
      <c r="D45" s="23">
        <v>11</v>
      </c>
      <c r="E45" s="646"/>
      <c r="F45" s="647"/>
      <c r="G45" s="99"/>
      <c r="H45" s="28">
        <f>IF(I29=0,0,VLOOKUP($P$3,'[1]Mit-2'!$A$65:$P$79,11,FALSE))</f>
        <v>0</v>
      </c>
      <c r="I45" s="226">
        <f>IF($I$9="",ROUND(IF($I$29=0,0,-H45/D45),2),-Steuern!J52)</f>
        <v>0</v>
      </c>
      <c r="J45" s="410">
        <v>27</v>
      </c>
      <c r="K45" s="542"/>
      <c r="L45" s="543"/>
      <c r="M45" s="543"/>
      <c r="N45" s="543"/>
      <c r="O45" s="544"/>
      <c r="P45" s="9"/>
      <c r="Q45" s="116">
        <f>[1]Tab!E9</f>
        <v>1250.01</v>
      </c>
      <c r="R45" s="111">
        <f>[1]Tab!F9</f>
        <v>2333.33</v>
      </c>
      <c r="S45" s="112">
        <f>[1]Tab!G9</f>
        <v>0.25</v>
      </c>
      <c r="T45" s="113">
        <f>ROUND((R45-Q45)*S45+T44,2)</f>
        <v>558.33000000000004</v>
      </c>
      <c r="U45" s="113">
        <f ca="1">ROUND(IF(AND($H$38&lt;=R45,$H$38&gt;=Q45),T44+($H$38-R44)*S45,0),2)</f>
        <v>0</v>
      </c>
      <c r="V45" s="12"/>
      <c r="W45" s="9"/>
      <c r="X45" s="9"/>
      <c r="Y45" s="9"/>
      <c r="Z45" s="9"/>
    </row>
    <row r="46" spans="1:26" ht="12" customHeight="1" x14ac:dyDescent="0.2">
      <c r="A46" s="156" t="s">
        <v>142</v>
      </c>
      <c r="B46" s="17"/>
      <c r="C46" s="18"/>
      <c r="D46" s="16"/>
      <c r="E46" s="717"/>
      <c r="F46" s="718"/>
      <c r="G46" s="164"/>
      <c r="H46" s="167" t="s">
        <v>33</v>
      </c>
      <c r="I46" s="231"/>
      <c r="J46" s="411">
        <v>28</v>
      </c>
      <c r="K46" s="542"/>
      <c r="L46" s="543"/>
      <c r="M46" s="543"/>
      <c r="N46" s="543"/>
      <c r="O46" s="544"/>
      <c r="P46" s="9"/>
      <c r="Q46" s="116">
        <f>[1]Tab!E10</f>
        <v>2333.34</v>
      </c>
      <c r="R46" s="111">
        <f>[1]Tab!F10</f>
        <v>4166.67</v>
      </c>
      <c r="S46" s="112">
        <f>[1]Tab!G10</f>
        <v>0.35</v>
      </c>
      <c r="T46" s="113">
        <f>ROUND((R46-Q46)*S46+T45,2)</f>
        <v>1200</v>
      </c>
      <c r="U46" s="113">
        <f ca="1">ROUND(IF(AND($H$38&lt;=R46,$H$38&gt;=Q46),T45+($H$38-R45)*S46,0),2)</f>
        <v>0</v>
      </c>
      <c r="V46" s="12"/>
      <c r="W46" s="9"/>
      <c r="X46" s="9"/>
      <c r="Y46" s="9"/>
      <c r="Z46" s="9"/>
    </row>
    <row r="47" spans="1:26" ht="12" customHeight="1" x14ac:dyDescent="0.2">
      <c r="A47" s="150" t="s">
        <v>114</v>
      </c>
      <c r="B47" s="19"/>
      <c r="C47" s="11"/>
      <c r="D47" s="20"/>
      <c r="E47" s="646"/>
      <c r="F47" s="647"/>
      <c r="G47" s="93"/>
      <c r="H47" s="537"/>
      <c r="I47" s="232">
        <f>-H47</f>
        <v>0</v>
      </c>
      <c r="J47" s="410">
        <v>29</v>
      </c>
      <c r="K47" s="542"/>
      <c r="L47" s="543"/>
      <c r="M47" s="543"/>
      <c r="N47" s="543"/>
      <c r="O47" s="544"/>
      <c r="P47" s="3"/>
      <c r="Q47" s="116">
        <f>[1]Tab!E11</f>
        <v>4166.68</v>
      </c>
      <c r="R47" s="111">
        <f>[1]Tab!F11</f>
        <v>0</v>
      </c>
      <c r="S47" s="112">
        <f>[1]Tab!G11</f>
        <v>0.43</v>
      </c>
      <c r="T47" s="113"/>
      <c r="U47" s="113">
        <f ca="1">ROUND(IF(AND($H$38&lt;=R47,$H$38&gt;=Q47),T46+($H$38-R46)*S47,0),2)</f>
        <v>0</v>
      </c>
      <c r="V47" s="1"/>
      <c r="W47" s="3"/>
      <c r="X47" s="3"/>
      <c r="Y47" s="3"/>
      <c r="Z47" s="3"/>
    </row>
    <row r="48" spans="1:26" ht="12" customHeight="1" x14ac:dyDescent="0.2">
      <c r="A48" s="322" t="s">
        <v>115</v>
      </c>
      <c r="B48" s="323"/>
      <c r="C48" s="324" t="s">
        <v>54</v>
      </c>
      <c r="D48" s="325">
        <v>11</v>
      </c>
      <c r="E48" s="715"/>
      <c r="F48" s="716"/>
      <c r="G48" s="321"/>
      <c r="H48" s="450">
        <f>IF(I29=0,0,VLOOKUP($P$3,'[1]Mit-2'!$A$65:$AD$79,25,FALSE))</f>
        <v>0</v>
      </c>
      <c r="I48" s="226">
        <f>IF($I$9="",ROUND(IF($I$29=0,0,-H48/D48),2),-Steuern!N52)</f>
        <v>0</v>
      </c>
      <c r="J48" s="411">
        <v>30</v>
      </c>
      <c r="K48" s="542"/>
      <c r="L48" s="543"/>
      <c r="M48" s="543"/>
      <c r="N48" s="543"/>
      <c r="O48" s="544"/>
      <c r="P48" s="3"/>
      <c r="Q48" s="116">
        <f>[1]Tab!E12</f>
        <v>0</v>
      </c>
      <c r="R48" s="111"/>
      <c r="S48" s="112">
        <f>[1]Tab!G12</f>
        <v>0</v>
      </c>
      <c r="T48" s="114"/>
      <c r="U48" s="113">
        <f ca="1">ROUND(IF($H$38&gt;R47,T47+($H$38-R47)*S48,0),2)</f>
        <v>0</v>
      </c>
      <c r="V48" s="1"/>
      <c r="W48" s="3"/>
      <c r="X48" s="3"/>
      <c r="Y48" s="3"/>
      <c r="Z48" s="3"/>
    </row>
    <row r="49" spans="1:26" ht="12" customHeight="1" x14ac:dyDescent="0.2">
      <c r="A49" s="161" t="s">
        <v>147</v>
      </c>
      <c r="B49" s="329">
        <v>0.3</v>
      </c>
      <c r="C49" s="330">
        <f>H48</f>
        <v>0</v>
      </c>
      <c r="D49" s="331">
        <f>ROUND(C49*B49,2)</f>
        <v>0</v>
      </c>
      <c r="E49" s="649"/>
      <c r="F49" s="650"/>
      <c r="G49" s="332" t="s">
        <v>248</v>
      </c>
      <c r="H49" s="333">
        <v>9</v>
      </c>
      <c r="I49" s="518">
        <f>IF($I$9="",ROUND(IF($I$29=0,0,-D49/H49),2),-Steuern!R53)</f>
        <v>0</v>
      </c>
      <c r="J49" s="416">
        <v>31</v>
      </c>
      <c r="K49" s="542"/>
      <c r="L49" s="543"/>
      <c r="M49" s="543"/>
      <c r="N49" s="543"/>
      <c r="O49" s="544"/>
      <c r="P49" s="3"/>
      <c r="Q49" s="116">
        <f>[1]Tab!E13</f>
        <v>0</v>
      </c>
      <c r="R49" s="111"/>
      <c r="S49" s="112">
        <f>[1]Tab!G13</f>
        <v>0</v>
      </c>
      <c r="T49" s="114"/>
      <c r="U49" s="113">
        <f ca="1">ROUND(IF($H$38&gt;R48,T48+($H$38-R48)*S49,0),2)</f>
        <v>0</v>
      </c>
      <c r="V49" s="1"/>
      <c r="W49" s="3"/>
      <c r="X49" s="3"/>
      <c r="Y49" s="3"/>
      <c r="Z49" s="3"/>
    </row>
    <row r="50" spans="1:26" ht="12" customHeight="1" x14ac:dyDescent="0.2">
      <c r="A50" s="160" t="s">
        <v>139</v>
      </c>
      <c r="B50" s="25"/>
      <c r="C50" s="168" t="s">
        <v>34</v>
      </c>
      <c r="D50" s="168" t="s">
        <v>160</v>
      </c>
      <c r="E50" s="644" t="s">
        <v>161</v>
      </c>
      <c r="F50" s="645"/>
      <c r="G50" s="168" t="s">
        <v>162</v>
      </c>
      <c r="H50" s="328" t="s">
        <v>36</v>
      </c>
      <c r="I50" s="236"/>
      <c r="J50" s="417"/>
      <c r="K50" s="635">
        <f>SUM(K19:K49)</f>
        <v>0</v>
      </c>
      <c r="L50" s="631">
        <f>SUM(L19:L49)</f>
        <v>0</v>
      </c>
      <c r="M50" s="631">
        <f>SUM(M19:M49)</f>
        <v>0</v>
      </c>
      <c r="N50" s="631">
        <f>SUM(N19:N49)</f>
        <v>0</v>
      </c>
      <c r="O50" s="637">
        <f>SUM(O19:O49)</f>
        <v>0</v>
      </c>
      <c r="P50" s="9"/>
      <c r="Q50" s="297" t="s">
        <v>8</v>
      </c>
      <c r="R50" s="298"/>
      <c r="S50" s="117"/>
      <c r="T50" s="118"/>
      <c r="U50" s="119">
        <f ca="1">ROUND(SUM(U44:U47),2)</f>
        <v>0</v>
      </c>
      <c r="V50" s="12"/>
      <c r="W50" s="9"/>
      <c r="X50" s="9"/>
      <c r="Y50" s="9"/>
      <c r="Z50" s="9"/>
    </row>
    <row r="51" spans="1:26" ht="12" customHeight="1" x14ac:dyDescent="0.2">
      <c r="A51" s="150" t="s">
        <v>117</v>
      </c>
      <c r="B51" s="26"/>
      <c r="C51" s="80">
        <f>IF(I29=0,0,Steuern!J84)</f>
        <v>0</v>
      </c>
      <c r="D51" s="80">
        <f>IF(I29=0,0,Steuern!L84)</f>
        <v>0</v>
      </c>
      <c r="E51" s="646">
        <f>IF(I29=0,0,Steuern!N84)</f>
        <v>0</v>
      </c>
      <c r="F51" s="647"/>
      <c r="G51" s="80">
        <f>IF(I29=0,0,Steuern!P84)</f>
        <v>0</v>
      </c>
      <c r="H51" s="101">
        <f>IF(I29=0,0,Steuern!R84)</f>
        <v>0</v>
      </c>
      <c r="I51" s="236"/>
      <c r="J51" s="415"/>
      <c r="K51" s="636"/>
      <c r="L51" s="632"/>
      <c r="M51" s="632"/>
      <c r="N51" s="632"/>
      <c r="O51" s="638"/>
      <c r="P51" s="9"/>
      <c r="Q51" s="88"/>
      <c r="R51" s="88"/>
      <c r="S51" s="88"/>
      <c r="T51" s="88"/>
      <c r="U51" s="88"/>
      <c r="V51" s="12"/>
      <c r="W51" s="9"/>
      <c r="X51" s="9"/>
      <c r="Y51" s="9"/>
      <c r="Z51" s="9"/>
    </row>
    <row r="52" spans="1:26" ht="12" customHeight="1" x14ac:dyDescent="0.2">
      <c r="A52" s="161" t="s">
        <v>138</v>
      </c>
      <c r="B52" s="27"/>
      <c r="C52" s="103">
        <f>IF($I$9="",0,Steuern!J89)</f>
        <v>0</v>
      </c>
      <c r="D52" s="103">
        <f>U60</f>
        <v>0</v>
      </c>
      <c r="E52" s="655">
        <f>IF($I$9="",0,Ausgleich!F60)</f>
        <v>0</v>
      </c>
      <c r="F52" s="656"/>
      <c r="G52" s="56">
        <f>IF($I$9="",0,Ausgleich!G63)</f>
        <v>0</v>
      </c>
      <c r="H52" s="418">
        <f>IF((D52-E52-G52)&lt;0,0,D52-E52-G52)</f>
        <v>0</v>
      </c>
      <c r="I52" s="233">
        <f>IF($I$9="",0,H51-H52)</f>
        <v>0</v>
      </c>
      <c r="J52" s="639" t="s">
        <v>230</v>
      </c>
      <c r="K52" s="640"/>
      <c r="L52" s="640"/>
      <c r="M52" s="640"/>
      <c r="N52" s="640"/>
      <c r="O52" s="641"/>
      <c r="P52" s="9"/>
      <c r="Q52" s="88"/>
      <c r="R52" s="88"/>
      <c r="S52" s="88"/>
      <c r="T52" s="96"/>
      <c r="U52" s="88"/>
      <c r="V52" s="12"/>
      <c r="W52" s="9"/>
      <c r="X52" s="9"/>
      <c r="Y52" s="9"/>
      <c r="Z52" s="9"/>
    </row>
    <row r="53" spans="1:26" ht="12" customHeight="1" x14ac:dyDescent="0.2">
      <c r="A53" s="178" t="s">
        <v>119</v>
      </c>
      <c r="B53" s="30"/>
      <c r="C53" s="30"/>
      <c r="D53" s="30"/>
      <c r="E53" s="30"/>
      <c r="F53" s="30"/>
      <c r="G53" s="30"/>
      <c r="H53" s="30"/>
      <c r="I53" s="234">
        <f ca="1">SUM(I29:I52)</f>
        <v>0</v>
      </c>
      <c r="J53" s="412"/>
      <c r="K53" s="66"/>
      <c r="L53" s="66"/>
      <c r="M53" s="66"/>
      <c r="N53" s="66"/>
      <c r="O53" s="196"/>
      <c r="P53" s="5"/>
      <c r="Q53" s="627" t="s">
        <v>6</v>
      </c>
      <c r="R53" s="628"/>
      <c r="S53" s="629" t="s">
        <v>7</v>
      </c>
      <c r="T53" s="633" t="s">
        <v>5</v>
      </c>
      <c r="U53" s="625" t="s">
        <v>2</v>
      </c>
      <c r="V53" s="8"/>
      <c r="W53" s="5"/>
      <c r="X53" s="5"/>
      <c r="Y53" s="5"/>
      <c r="Z53" s="5"/>
    </row>
    <row r="54" spans="1:26" ht="12" customHeight="1" x14ac:dyDescent="0.2">
      <c r="A54" s="170" t="s">
        <v>120</v>
      </c>
      <c r="B54" s="173" t="s">
        <v>124</v>
      </c>
      <c r="C54" s="275">
        <f>IF($I$9="",0,VLOOKUP($P$3,'[1]Mit-1'!$A$5:$AD$19,22,FALSE))</f>
        <v>0</v>
      </c>
      <c r="D54" s="139" t="s">
        <v>38</v>
      </c>
      <c r="E54" s="657">
        <f>ROUND(IF($I$9="",0,Steuern!$D$89/13.5),2)</f>
        <v>0</v>
      </c>
      <c r="F54" s="658"/>
      <c r="G54" s="139" t="s">
        <v>40</v>
      </c>
      <c r="H54" s="276">
        <f>IF($I$9="",0,Steuern!$F$89)</f>
        <v>0</v>
      </c>
      <c r="I54" s="529">
        <f>C54+E54-H54</f>
        <v>0</v>
      </c>
      <c r="J54" s="703"/>
      <c r="K54" s="704"/>
      <c r="L54" s="704"/>
      <c r="M54" s="704"/>
      <c r="N54" s="704"/>
      <c r="O54" s="705"/>
      <c r="Q54" s="121" t="s">
        <v>0</v>
      </c>
      <c r="R54" s="122" t="s">
        <v>1</v>
      </c>
      <c r="S54" s="630"/>
      <c r="T54" s="634"/>
      <c r="U54" s="626"/>
      <c r="V54" s="3"/>
      <c r="W54" s="3"/>
      <c r="X54" s="3"/>
    </row>
    <row r="55" spans="1:26" ht="15" customHeight="1" x14ac:dyDescent="0.2">
      <c r="A55" s="172" t="s">
        <v>121</v>
      </c>
      <c r="B55" s="175" t="s">
        <v>37</v>
      </c>
      <c r="C55" s="535"/>
      <c r="D55" s="174" t="s">
        <v>39</v>
      </c>
      <c r="E55" s="659"/>
      <c r="F55" s="660"/>
      <c r="G55" s="174" t="s">
        <v>35</v>
      </c>
      <c r="H55" s="537"/>
      <c r="I55" s="527">
        <f>-(E55-H55)</f>
        <v>0</v>
      </c>
      <c r="J55" s="532"/>
      <c r="K55" s="531"/>
      <c r="L55" s="531"/>
      <c r="M55" s="531"/>
      <c r="N55" s="709"/>
      <c r="O55" s="710"/>
      <c r="Q55" s="116">
        <f>[1]Tab!A8</f>
        <v>0</v>
      </c>
      <c r="R55" s="111">
        <f>[1]Tab!D8</f>
        <v>15000</v>
      </c>
      <c r="S55" s="112">
        <f>S44</f>
        <v>0.23</v>
      </c>
      <c r="T55" s="113">
        <f>ROUND(R55*S55,2)</f>
        <v>3450</v>
      </c>
      <c r="U55" s="113">
        <f>ROUND(IF(AND($C$52&lt;=R55,C52&gt;0),$C$52*S55,0),2)</f>
        <v>0</v>
      </c>
      <c r="V55" s="3"/>
      <c r="W55" s="3"/>
      <c r="X55" s="3"/>
    </row>
    <row r="56" spans="1:26" ht="16.899999999999999" customHeight="1" x14ac:dyDescent="0.2">
      <c r="A56" s="596" t="s">
        <v>122</v>
      </c>
      <c r="B56" s="177" t="s">
        <v>125</v>
      </c>
      <c r="C56" s="588">
        <f>ROUND(C54*'[1]Mit-2'!$K$84%,2)</f>
        <v>0</v>
      </c>
      <c r="D56" s="176" t="s">
        <v>262</v>
      </c>
      <c r="E56" s="655">
        <f>ROUND(C56*[1]Tab!$G$142,2)</f>
        <v>0</v>
      </c>
      <c r="F56" s="656"/>
      <c r="G56" s="589"/>
      <c r="H56" s="590"/>
      <c r="I56" s="224">
        <f>C56-E56</f>
        <v>0</v>
      </c>
      <c r="J56" s="532"/>
      <c r="K56" s="531"/>
      <c r="L56" s="531"/>
      <c r="M56" s="531"/>
      <c r="N56" s="709"/>
      <c r="O56" s="710"/>
      <c r="Q56" s="116">
        <f>[1]Tab!A9</f>
        <v>15000.01</v>
      </c>
      <c r="R56" s="111">
        <f>[1]Tab!D9</f>
        <v>28000</v>
      </c>
      <c r="S56" s="112">
        <f>S45</f>
        <v>0.25</v>
      </c>
      <c r="T56" s="113">
        <f>ROUND((R56-Q56)*S56+T55,2)</f>
        <v>6700</v>
      </c>
      <c r="U56" s="113">
        <f>ROUND(IF(AND($C$52&lt;=R56,$C$52&gt;=Q56),T55+($C$52-R55)*S56,0),2)</f>
        <v>0</v>
      </c>
    </row>
    <row r="57" spans="1:26" ht="12.75" customHeight="1" x14ac:dyDescent="0.2">
      <c r="A57" s="582" t="s">
        <v>242</v>
      </c>
      <c r="B57" s="583"/>
      <c r="C57" s="583"/>
      <c r="D57" s="584"/>
      <c r="E57" s="653"/>
      <c r="F57" s="653"/>
      <c r="G57" s="584"/>
      <c r="H57" s="585"/>
      <c r="I57" s="586">
        <f ca="1">ROUND(IF(SUM(H39:H40)&gt;=0,0,VLOOKUP($P$3,'[1]Mit-1'!$A$5:$AC$19,20,FALSE)/[1]Firma!$C$24*IF(R9=0,T9,R9)),2)</f>
        <v>0</v>
      </c>
      <c r="J57" s="706"/>
      <c r="K57" s="707"/>
      <c r="L57" s="707"/>
      <c r="M57" s="707"/>
      <c r="N57" s="707"/>
      <c r="O57" s="708"/>
      <c r="P57" s="5"/>
      <c r="Q57" s="116">
        <f>[1]Tab!A10</f>
        <v>28000.01</v>
      </c>
      <c r="R57" s="111">
        <f>[1]Tab!D10</f>
        <v>50000</v>
      </c>
      <c r="S57" s="112">
        <f>S46</f>
        <v>0.35</v>
      </c>
      <c r="T57" s="113">
        <f>ROUND((R57-Q57)*S57+T56,2)</f>
        <v>14400</v>
      </c>
      <c r="U57" s="113">
        <f>ROUND(IF(AND($C$52&lt;=R57,$C$52&gt;=Q57),T56+($C$52-R56)*S57,0),2)</f>
        <v>0</v>
      </c>
      <c r="V57" s="5"/>
      <c r="W57" s="5"/>
      <c r="X57" s="5"/>
      <c r="Y57" s="5"/>
      <c r="Z57" s="5"/>
    </row>
    <row r="58" spans="1:26" ht="12.75" customHeight="1" x14ac:dyDescent="0.2">
      <c r="A58" s="600"/>
      <c r="B58" s="601"/>
      <c r="C58" s="601"/>
      <c r="D58" s="602"/>
      <c r="E58" s="654"/>
      <c r="F58" s="654"/>
      <c r="G58" s="602"/>
      <c r="H58" s="603"/>
      <c r="I58" s="604"/>
      <c r="J58" s="532"/>
      <c r="K58" s="531"/>
      <c r="L58" s="531"/>
      <c r="M58" s="531"/>
      <c r="N58" s="709"/>
      <c r="O58" s="710"/>
      <c r="P58" s="5"/>
      <c r="Q58" s="116">
        <f>[1]Tab!A11</f>
        <v>50000.01</v>
      </c>
      <c r="R58" s="111">
        <f>[1]Tab!D11</f>
        <v>0</v>
      </c>
      <c r="S58" s="112">
        <f>S47</f>
        <v>0.43</v>
      </c>
      <c r="T58" s="113"/>
      <c r="U58" s="113">
        <f>ROUND(IF(AND($C$52&lt;=R58,$C$52&gt;=Q58),T57+($C$52-R57)*S58,0),2)</f>
        <v>0</v>
      </c>
      <c r="V58" s="5"/>
      <c r="W58" s="5"/>
      <c r="X58" s="5"/>
      <c r="Y58" s="5"/>
      <c r="Z58" s="5"/>
    </row>
    <row r="59" spans="1:26" ht="12" customHeight="1" x14ac:dyDescent="0.2">
      <c r="A59" s="154" t="s">
        <v>123</v>
      </c>
      <c r="B59" s="11"/>
      <c r="C59" s="55"/>
      <c r="D59" s="175" t="s">
        <v>41</v>
      </c>
      <c r="E59" s="733">
        <f>-'07'!H59</f>
        <v>0</v>
      </c>
      <c r="F59" s="734"/>
      <c r="G59" s="175" t="s">
        <v>42</v>
      </c>
      <c r="H59" s="212">
        <f>IF(I29=0,0,SUM(I60-Q61))</f>
        <v>0</v>
      </c>
      <c r="I59" s="527">
        <f>IF(I29=0,0,SUM(E59,H59))</f>
        <v>0</v>
      </c>
      <c r="J59" s="532"/>
      <c r="K59" s="531"/>
      <c r="L59" s="531"/>
      <c r="M59" s="531"/>
      <c r="N59" s="709"/>
      <c r="O59" s="710"/>
      <c r="P59" s="5"/>
      <c r="Q59" s="116">
        <f>[1]Tab!A12</f>
        <v>0</v>
      </c>
      <c r="R59" s="111"/>
      <c r="S59" s="112">
        <f>S48</f>
        <v>0</v>
      </c>
      <c r="T59" s="114"/>
      <c r="U59" s="113">
        <f>ROUND(IF($C$52&gt;R58,T58+($C$52-R58)*S59,0),2)</f>
        <v>0</v>
      </c>
      <c r="V59" s="5"/>
      <c r="W59" s="5"/>
      <c r="X59" s="5"/>
      <c r="Y59" s="5"/>
      <c r="Z59" s="5"/>
    </row>
    <row r="60" spans="1:26" ht="12" customHeight="1" x14ac:dyDescent="0.2">
      <c r="A60" s="427" t="s">
        <v>43</v>
      </c>
      <c r="B60" s="428"/>
      <c r="C60" s="428"/>
      <c r="D60" s="428"/>
      <c r="E60" s="428"/>
      <c r="F60" s="428"/>
      <c r="G60" s="428"/>
      <c r="H60" s="428"/>
      <c r="I60" s="530">
        <f>IF(I29=0,0,ROUNDUP(Q61,0))</f>
        <v>0</v>
      </c>
      <c r="J60" s="533"/>
      <c r="K60" s="534"/>
      <c r="L60" s="534"/>
      <c r="M60" s="534"/>
      <c r="N60" s="701"/>
      <c r="O60" s="702"/>
      <c r="P60" s="9"/>
      <c r="Q60" s="297" t="s">
        <v>8</v>
      </c>
      <c r="R60" s="298"/>
      <c r="S60" s="117"/>
      <c r="T60" s="118"/>
      <c r="U60" s="120">
        <f>ROUND(SUM(U55:U59),2)</f>
        <v>0</v>
      </c>
      <c r="V60" s="9"/>
      <c r="W60" s="9"/>
      <c r="X60" s="9"/>
      <c r="Y60" s="9"/>
      <c r="Z60" s="9"/>
    </row>
    <row r="61" spans="1:26" ht="1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K61" s="64"/>
      <c r="L61" s="64"/>
      <c r="M61" s="64"/>
      <c r="Q61" s="205">
        <f ca="1">SUM(I53:I58,E59)</f>
        <v>0</v>
      </c>
    </row>
    <row r="62" spans="1:26" x14ac:dyDescent="0.2">
      <c r="Q62" s="205"/>
    </row>
    <row r="63" spans="1:26" ht="15.75" customHeight="1" x14ac:dyDescent="0.2">
      <c r="Q63" s="205"/>
    </row>
    <row r="64" spans="1:26" x14ac:dyDescent="0.2">
      <c r="A64" s="108" t="str">
        <f>'[1]Beschr-Descr.'!A1</f>
        <v xml:space="preserve">Beschreibung Lohnelemente  </v>
      </c>
      <c r="B64" s="63"/>
      <c r="C64" s="63"/>
      <c r="D64" s="63"/>
      <c r="E64" s="63"/>
      <c r="F64" s="63"/>
      <c r="G64" s="63"/>
      <c r="Q64" s="205"/>
    </row>
    <row r="65" spans="1:7" x14ac:dyDescent="0.2">
      <c r="A65" s="108" t="str">
        <f>'[1]Beschr-Descr.'!A2</f>
        <v>Descrizione elementi di retribuzione</v>
      </c>
      <c r="B65" s="63"/>
      <c r="C65" s="63"/>
      <c r="D65" s="63"/>
      <c r="E65" s="63"/>
      <c r="F65" s="108" t="s">
        <v>3</v>
      </c>
      <c r="G65" s="63"/>
    </row>
    <row r="66" spans="1:7" x14ac:dyDescent="0.2">
      <c r="A66" s="206">
        <f>'[1]Beschr-Descr.'!A3</f>
        <v>0</v>
      </c>
      <c r="B66" s="206">
        <f>'[1]Beschr-Descr.'!B3</f>
        <v>0</v>
      </c>
      <c r="C66" s="206">
        <f>'[1]Beschr-Descr.'!C3</f>
        <v>0</v>
      </c>
      <c r="D66" s="206">
        <f>'[1]Beschr-Descr.'!D3</f>
        <v>0</v>
      </c>
      <c r="E66" s="206">
        <f>'[1]Beschr-Descr.'!E3</f>
        <v>0</v>
      </c>
      <c r="F66" s="63"/>
      <c r="G66" s="63"/>
    </row>
    <row r="67" spans="1:7" x14ac:dyDescent="0.2">
      <c r="A67" s="206" t="str">
        <f>'[1]Beschr-Descr.'!A4</f>
        <v>Normalentlohnung</v>
      </c>
      <c r="B67" s="295"/>
      <c r="C67" s="295">
        <f>'[1]Beschr-Descr.'!C4</f>
        <v>0</v>
      </c>
      <c r="D67" s="295">
        <f>'[1]Beschr-Descr.'!D4</f>
        <v>0</v>
      </c>
      <c r="E67" s="296">
        <f>'[1]Beschr-Descr.'!E4</f>
        <v>0</v>
      </c>
      <c r="F67" s="63" t="s">
        <v>44</v>
      </c>
      <c r="G67" s="63"/>
    </row>
    <row r="68" spans="1:7" x14ac:dyDescent="0.2">
      <c r="A68" s="206" t="str">
        <f>'[1]Beschr-Descr.'!A5</f>
        <v>Genossener Urlaub</v>
      </c>
      <c r="B68" s="295"/>
      <c r="C68" s="295">
        <f>'[1]Beschr-Descr.'!C5</f>
        <v>0</v>
      </c>
      <c r="D68" s="295">
        <f>'[1]Beschr-Descr.'!D5</f>
        <v>0</v>
      </c>
      <c r="E68" s="296">
        <f>'[1]Beschr-Descr.'!E5</f>
        <v>0</v>
      </c>
      <c r="F68" s="63" t="s">
        <v>45</v>
      </c>
      <c r="G68" s="63"/>
    </row>
    <row r="69" spans="1:7" x14ac:dyDescent="0.2">
      <c r="A69" s="206" t="str">
        <f>'[1]Beschr-Descr.'!A6</f>
        <v>Genossene Freistellungen</v>
      </c>
      <c r="B69" s="295"/>
      <c r="C69" s="295">
        <f>'[1]Beschr-Descr.'!C6</f>
        <v>0</v>
      </c>
      <c r="D69" s="295">
        <f>'[1]Beschr-Descr.'!D6</f>
        <v>0</v>
      </c>
      <c r="E69" s="296">
        <f>'[1]Beschr-Descr.'!E6</f>
        <v>0</v>
      </c>
      <c r="F69" s="63" t="s">
        <v>46</v>
      </c>
      <c r="G69" s="63"/>
    </row>
    <row r="70" spans="1:7" x14ac:dyDescent="0.2">
      <c r="A70" s="206" t="str">
        <f>'[1]Beschr-Descr.'!A7</f>
        <v>Nicht genossener Urlaub</v>
      </c>
      <c r="B70" s="295"/>
      <c r="C70" s="295">
        <f>'[1]Beschr-Descr.'!C7</f>
        <v>0</v>
      </c>
      <c r="D70" s="295">
        <f>'[1]Beschr-Descr.'!D7</f>
        <v>0</v>
      </c>
      <c r="E70" s="296">
        <f>'[1]Beschr-Descr.'!E7</f>
        <v>0</v>
      </c>
      <c r="F70" s="63"/>
      <c r="G70" s="63"/>
    </row>
    <row r="71" spans="1:7" x14ac:dyDescent="0.2">
      <c r="A71" s="206" t="str">
        <f>'[1]Beschr-Descr.'!A8</f>
        <v>Nicht genossene Freistellungen</v>
      </c>
      <c r="B71" s="295"/>
      <c r="C71" s="295">
        <f>'[1]Beschr-Descr.'!C8</f>
        <v>0</v>
      </c>
      <c r="D71" s="295">
        <f>'[1]Beschr-Descr.'!D8</f>
        <v>0</v>
      </c>
      <c r="E71" s="296">
        <f>'[1]Beschr-Descr.'!E8</f>
        <v>0</v>
      </c>
      <c r="F71" s="63"/>
      <c r="G71" s="63"/>
    </row>
    <row r="72" spans="1:7" x14ac:dyDescent="0.2">
      <c r="A72" s="206" t="str">
        <f>'[1]Beschr-Descr.'!A9</f>
        <v>Nicht genossene Feiertage</v>
      </c>
      <c r="B72" s="295"/>
      <c r="C72" s="295">
        <f>'[1]Beschr-Descr.'!C9</f>
        <v>0</v>
      </c>
      <c r="D72" s="295">
        <f>'[1]Beschr-Descr.'!D9</f>
        <v>0</v>
      </c>
      <c r="E72" s="296">
        <f>'[1]Beschr-Descr.'!E9</f>
        <v>0</v>
      </c>
      <c r="F72" s="63"/>
      <c r="G72" s="63"/>
    </row>
    <row r="73" spans="1:7" x14ac:dyDescent="0.2">
      <c r="A73" s="206" t="str">
        <f>'[1]Beschr-Descr.'!A10</f>
        <v>Zulage für Kassarisiko</v>
      </c>
      <c r="B73" s="295"/>
      <c r="C73" s="295">
        <f>'[1]Beschr-Descr.'!C10</f>
        <v>0</v>
      </c>
      <c r="D73" s="295">
        <f>'[1]Beschr-Descr.'!D10</f>
        <v>0</v>
      </c>
      <c r="E73" s="296">
        <f>'[1]Beschr-Descr.'!E10</f>
        <v>0</v>
      </c>
      <c r="F73" s="63"/>
      <c r="G73" s="63"/>
    </row>
    <row r="74" spans="1:7" x14ac:dyDescent="0.2">
      <c r="A74" s="206">
        <f>'[1]Beschr-Descr.'!A11</f>
        <v>0</v>
      </c>
      <c r="B74" s="295"/>
      <c r="C74" s="295">
        <f>'[1]Beschr-Descr.'!C11</f>
        <v>0</v>
      </c>
      <c r="D74" s="295">
        <f>'[1]Beschr-Descr.'!D11</f>
        <v>0</v>
      </c>
      <c r="E74" s="296">
        <f>'[1]Beschr-Descr.'!E11</f>
        <v>0</v>
      </c>
      <c r="F74" s="63"/>
      <c r="G74" s="63"/>
    </row>
    <row r="75" spans="1:7" x14ac:dyDescent="0.2">
      <c r="A75" s="206" t="str">
        <f>'[1]Beschr-Descr.'!A12</f>
        <v xml:space="preserve">Überstunden 15%  </v>
      </c>
      <c r="B75" s="295"/>
      <c r="C75" s="295">
        <f>'[1]Beschr-Descr.'!C12</f>
        <v>0</v>
      </c>
      <c r="D75" s="295">
        <f>'[1]Beschr-Descr.'!D12</f>
        <v>0</v>
      </c>
      <c r="E75" s="296">
        <f>'[1]Beschr-Descr.'!E12</f>
        <v>0.15</v>
      </c>
      <c r="F75" s="63"/>
      <c r="G75" s="63"/>
    </row>
    <row r="76" spans="1:7" x14ac:dyDescent="0.2">
      <c r="A76" s="206" t="str">
        <f>'[1]Beschr-Descr.'!A13</f>
        <v xml:space="preserve">Überstunden 20%  </v>
      </c>
      <c r="B76" s="295"/>
      <c r="C76" s="295">
        <f>'[1]Beschr-Descr.'!C13</f>
        <v>0</v>
      </c>
      <c r="D76" s="295">
        <f>'[1]Beschr-Descr.'!D13</f>
        <v>0</v>
      </c>
      <c r="E76" s="296">
        <f>'[1]Beschr-Descr.'!E13</f>
        <v>0.2</v>
      </c>
      <c r="F76" s="63"/>
      <c r="G76" s="63"/>
    </row>
    <row r="77" spans="1:7" x14ac:dyDescent="0.2">
      <c r="A77" s="206" t="str">
        <f>'[1]Beschr-Descr.'!A14</f>
        <v xml:space="preserve">Überstunden 30%  </v>
      </c>
      <c r="B77" s="295"/>
      <c r="C77" s="295">
        <f>'[1]Beschr-Descr.'!C14</f>
        <v>0</v>
      </c>
      <c r="D77" s="295">
        <f>'[1]Beschr-Descr.'!D14</f>
        <v>0</v>
      </c>
      <c r="E77" s="296">
        <f>'[1]Beschr-Descr.'!E14</f>
        <v>0.3</v>
      </c>
      <c r="F77" s="63"/>
      <c r="G77" s="63"/>
    </row>
    <row r="78" spans="1:7" x14ac:dyDescent="0.2">
      <c r="A78" s="206" t="str">
        <f>'[1]Beschr-Descr.'!A15</f>
        <v xml:space="preserve">Überstunden 50%  </v>
      </c>
      <c r="B78" s="295"/>
      <c r="C78" s="295">
        <f>'[1]Beschr-Descr.'!C15</f>
        <v>0</v>
      </c>
      <c r="D78" s="295">
        <f>'[1]Beschr-Descr.'!D15</f>
        <v>0</v>
      </c>
      <c r="E78" s="296">
        <f>'[1]Beschr-Descr.'!E15</f>
        <v>0.5</v>
      </c>
      <c r="F78" s="63"/>
      <c r="G78" s="63"/>
    </row>
    <row r="79" spans="1:7" x14ac:dyDescent="0.2">
      <c r="A79" s="206" t="str">
        <f>'[1]Beschr-Descr.'!A16</f>
        <v>Nachtstunden 50%</v>
      </c>
      <c r="B79" s="295"/>
      <c r="C79" s="295">
        <f>'[1]Beschr-Descr.'!C16</f>
        <v>0</v>
      </c>
      <c r="D79" s="295">
        <f>'[1]Beschr-Descr.'!D16</f>
        <v>0</v>
      </c>
      <c r="E79" s="296">
        <f>'[1]Beschr-Descr.'!E16</f>
        <v>0.5</v>
      </c>
      <c r="F79" s="63"/>
      <c r="G79" s="63"/>
    </row>
    <row r="80" spans="1:7" x14ac:dyDescent="0.2">
      <c r="A80" s="206">
        <f>'[1]Beschr-Descr.'!A17</f>
        <v>0</v>
      </c>
      <c r="B80" s="295"/>
      <c r="C80" s="295">
        <f>'[1]Beschr-Descr.'!C17</f>
        <v>0</v>
      </c>
      <c r="D80" s="295">
        <f>'[1]Beschr-Descr.'!D17</f>
        <v>0</v>
      </c>
      <c r="E80" s="296">
        <f>'[1]Beschr-Descr.'!E17</f>
        <v>0</v>
      </c>
      <c r="F80" s="63"/>
      <c r="G80" s="63"/>
    </row>
    <row r="81" spans="1:7" x14ac:dyDescent="0.2">
      <c r="A81" s="206" t="str">
        <f>'[1]Beschr-Descr.'!A18</f>
        <v>Krankheit gesamt</v>
      </c>
      <c r="B81" s="295"/>
      <c r="C81" s="295">
        <f>'[1]Beschr-Descr.'!C18</f>
        <v>0</v>
      </c>
      <c r="D81" s="295">
        <f>'[1]Beschr-Descr.'!D18</f>
        <v>0</v>
      </c>
      <c r="E81" s="296">
        <f>'[1]Beschr-Descr.'!E18</f>
        <v>0</v>
      </c>
      <c r="F81" s="63"/>
      <c r="G81" s="63"/>
    </row>
    <row r="82" spans="1:7" x14ac:dyDescent="0.2">
      <c r="A82" s="206" t="str">
        <f>'[1]Beschr-Descr.'!A19</f>
        <v xml:space="preserve">Krankheit INPS-Anteil 50,00% </v>
      </c>
      <c r="B82" s="295"/>
      <c r="C82" s="295">
        <f>'[1]Beschr-Descr.'!C19</f>
        <v>0</v>
      </c>
      <c r="D82" s="295">
        <f>'[1]Beschr-Descr.'!D19</f>
        <v>0</v>
      </c>
      <c r="E82" s="296">
        <f>'[1]Beschr-Descr.'!E19</f>
        <v>-0.5</v>
      </c>
      <c r="F82" s="63"/>
      <c r="G82" s="63"/>
    </row>
    <row r="83" spans="1:7" x14ac:dyDescent="0.2">
      <c r="A83" s="206" t="str">
        <f>'[1]Beschr-Descr.'!A20</f>
        <v xml:space="preserve">Krankheit INPS-Anteil 66,67% </v>
      </c>
      <c r="B83" s="295"/>
      <c r="C83" s="295">
        <f>'[1]Beschr-Descr.'!C20</f>
        <v>0</v>
      </c>
      <c r="D83" s="295">
        <f>'[1]Beschr-Descr.'!D20</f>
        <v>0</v>
      </c>
      <c r="E83" s="296">
        <f>'[1]Beschr-Descr.'!E20</f>
        <v>-0.66669999999999996</v>
      </c>
      <c r="F83" s="63"/>
      <c r="G83" s="63"/>
    </row>
    <row r="84" spans="1:7" x14ac:dyDescent="0.2">
      <c r="A84" s="206" t="str">
        <f>'[1]Beschr-Descr.'!A21</f>
        <v>Mutterschaft Gesamtbetrag</v>
      </c>
      <c r="B84" s="295"/>
      <c r="C84" s="295">
        <f>'[1]Beschr-Descr.'!C21</f>
        <v>0</v>
      </c>
      <c r="D84" s="295">
        <f>'[1]Beschr-Descr.'!D21</f>
        <v>0</v>
      </c>
      <c r="E84" s="296">
        <f>'[1]Beschr-Descr.'!E21</f>
        <v>0</v>
      </c>
      <c r="F84" s="63"/>
      <c r="G84" s="63"/>
    </row>
    <row r="85" spans="1:7" x14ac:dyDescent="0.2">
      <c r="A85" s="206" t="str">
        <f>'[1]Beschr-Descr.'!A22</f>
        <v>Mutterschaft INPS-Anteil 80,00%</v>
      </c>
      <c r="B85" s="295"/>
      <c r="C85" s="295">
        <f>'[1]Beschr-Descr.'!C22</f>
        <v>0</v>
      </c>
      <c r="D85" s="295">
        <f>'[1]Beschr-Descr.'!D22</f>
        <v>0</v>
      </c>
      <c r="E85" s="296">
        <f>'[1]Beschr-Descr.'!E22</f>
        <v>-0.8</v>
      </c>
      <c r="F85" s="63"/>
      <c r="G85" s="63"/>
    </row>
    <row r="86" spans="1:7" x14ac:dyDescent="0.2">
      <c r="A86" s="206" t="str">
        <f>'[1]Beschr-Descr.'!A23</f>
        <v>Abzug Bruttoberechnung Krankengeld INPS</v>
      </c>
      <c r="B86" s="295"/>
      <c r="C86" s="295">
        <f>'[1]Beschr-Descr.'!C23</f>
        <v>0</v>
      </c>
      <c r="D86" s="295">
        <f>'[1]Beschr-Descr.'!D23</f>
        <v>0</v>
      </c>
      <c r="E86" s="296">
        <f>'[1]Beschr-Descr.'!E23</f>
        <v>0.10120030833608633</v>
      </c>
      <c r="F86" s="63"/>
      <c r="G86" s="63"/>
    </row>
    <row r="87" spans="1:7" x14ac:dyDescent="0.2">
      <c r="A87" s="206">
        <f>'[1]Beschr-Descr.'!A24</f>
        <v>0</v>
      </c>
      <c r="B87" s="295"/>
      <c r="C87" s="295">
        <f>'[1]Beschr-Descr.'!C24</f>
        <v>0</v>
      </c>
      <c r="D87" s="295">
        <f>'[1]Beschr-Descr.'!D24</f>
        <v>0</v>
      </c>
      <c r="E87" s="296">
        <f>'[1]Beschr-Descr.'!E24</f>
        <v>0</v>
      </c>
      <c r="F87" s="63"/>
      <c r="G87" s="63"/>
    </row>
    <row r="88" spans="1:7" x14ac:dyDescent="0.2">
      <c r="A88" s="206" t="str">
        <f>'[1]Beschr-Descr.'!A25</f>
        <v xml:space="preserve">13. Monatsgehalt  </v>
      </c>
      <c r="B88" s="295"/>
      <c r="C88" s="295">
        <f>'[1]Beschr-Descr.'!C25</f>
        <v>0</v>
      </c>
      <c r="D88" s="295">
        <f>'[1]Beschr-Descr.'!D25</f>
        <v>0</v>
      </c>
      <c r="E88" s="296">
        <f>'[1]Beschr-Descr.'!E25</f>
        <v>0</v>
      </c>
      <c r="F88" s="63"/>
      <c r="G88" s="63"/>
    </row>
    <row r="89" spans="1:7" x14ac:dyDescent="0.2">
      <c r="A89" s="206" t="str">
        <f>'[1]Beschr-Descr.'!A26</f>
        <v xml:space="preserve">14. Monatsgehalt  </v>
      </c>
      <c r="B89" s="295"/>
      <c r="C89" s="295">
        <f>'[1]Beschr-Descr.'!C26</f>
        <v>0</v>
      </c>
      <c r="D89" s="295">
        <f>'[1]Beschr-Descr.'!D26</f>
        <v>0</v>
      </c>
      <c r="E89" s="296">
        <f>'[1]Beschr-Descr.'!E26</f>
        <v>0</v>
      </c>
      <c r="F89" s="63"/>
      <c r="G89" s="63"/>
    </row>
    <row r="90" spans="1:7" x14ac:dyDescent="0.2">
      <c r="A90" s="206" t="str">
        <f>'[1]Beschr-Descr.'!A27</f>
        <v xml:space="preserve">Nichteinhaltung Kündigungsfrist  </v>
      </c>
      <c r="B90" s="295"/>
      <c r="C90" s="295">
        <f>'[1]Beschr-Descr.'!C27</f>
        <v>0</v>
      </c>
      <c r="D90" s="295">
        <f>'[1]Beschr-Descr.'!D27</f>
        <v>0</v>
      </c>
      <c r="E90" s="296">
        <f>'[1]Beschr-Descr.'!E27</f>
        <v>0</v>
      </c>
      <c r="F90" s="63"/>
      <c r="G90" s="63"/>
    </row>
    <row r="91" spans="1:7" x14ac:dyDescent="0.2">
      <c r="A91" s="206" t="str">
        <f>'[1]Beschr-Descr.'!A28</f>
        <v>Una Tantum</v>
      </c>
      <c r="B91" s="295"/>
      <c r="C91" s="295">
        <f>'[1]Beschr-Descr.'!C28</f>
        <v>0</v>
      </c>
      <c r="D91" s="295">
        <f>'[1]Beschr-Descr.'!D28</f>
        <v>0</v>
      </c>
      <c r="E91" s="296">
        <f>'[1]Beschr-Descr.'!E28</f>
        <v>0</v>
      </c>
      <c r="F91" s="63"/>
      <c r="G91" s="63"/>
    </row>
    <row r="92" spans="1:7" x14ac:dyDescent="0.2">
      <c r="A92" s="206" t="str">
        <f>'[1]Beschr-Descr.'!A29</f>
        <v>Prämie</v>
      </c>
      <c r="B92" s="295"/>
      <c r="C92" s="295">
        <f>'[1]Beschr-Descr.'!C29</f>
        <v>0</v>
      </c>
      <c r="D92" s="295">
        <f>'[1]Beschr-Descr.'!D29</f>
        <v>0</v>
      </c>
      <c r="E92" s="296">
        <f>'[1]Beschr-Descr.'!E29</f>
        <v>0</v>
      </c>
      <c r="F92" s="63"/>
      <c r="G92" s="63"/>
    </row>
    <row r="93" spans="1:7" x14ac:dyDescent="0.2">
      <c r="A93" s="206">
        <f>'[1]Beschr-Descr.'!A30</f>
        <v>0</v>
      </c>
      <c r="B93" s="295"/>
      <c r="C93" s="295">
        <f>'[1]Beschr-Descr.'!C30</f>
        <v>0</v>
      </c>
      <c r="D93" s="295">
        <f>'[1]Beschr-Descr.'!D30</f>
        <v>0</v>
      </c>
      <c r="E93" s="296">
        <f>'[1]Beschr-Descr.'!E30</f>
        <v>0</v>
      </c>
      <c r="F93" s="63"/>
      <c r="G93" s="63"/>
    </row>
    <row r="94" spans="1:7" x14ac:dyDescent="0.2">
      <c r="A94" s="206">
        <f>'[1]Beschr-Descr.'!A31</f>
        <v>0</v>
      </c>
      <c r="B94" s="295"/>
      <c r="C94" s="295">
        <f>'[1]Beschr-Descr.'!C31</f>
        <v>0</v>
      </c>
      <c r="D94" s="295">
        <f>'[1]Beschr-Descr.'!D31</f>
        <v>0</v>
      </c>
      <c r="E94" s="296">
        <f>'[1]Beschr-Descr.'!E31</f>
        <v>0</v>
      </c>
      <c r="F94" s="63"/>
      <c r="G94" s="63"/>
    </row>
    <row r="95" spans="1:7" x14ac:dyDescent="0.2">
      <c r="A95" s="206" t="str">
        <f>'[1]Beschr-Descr.'!A32</f>
        <v xml:space="preserve">Retribuzione ordinaria </v>
      </c>
      <c r="B95" s="295"/>
      <c r="C95" s="295">
        <f>'[1]Beschr-Descr.'!C32</f>
        <v>0</v>
      </c>
      <c r="D95" s="295">
        <f>'[1]Beschr-Descr.'!D32</f>
        <v>0</v>
      </c>
      <c r="E95" s="296">
        <f>'[1]Beschr-Descr.'!E32</f>
        <v>0</v>
      </c>
      <c r="F95" s="63"/>
      <c r="G95" s="63"/>
    </row>
    <row r="96" spans="1:7" x14ac:dyDescent="0.2">
      <c r="A96" s="206" t="str">
        <f>'[1]Beschr-Descr.'!A33</f>
        <v>Ferie godute</v>
      </c>
      <c r="B96" s="295"/>
      <c r="C96" s="295">
        <f>'[1]Beschr-Descr.'!C33</f>
        <v>0</v>
      </c>
      <c r="D96" s="295">
        <f>'[1]Beschr-Descr.'!D33</f>
        <v>0</v>
      </c>
      <c r="E96" s="296">
        <f>'[1]Beschr-Descr.'!E33</f>
        <v>0</v>
      </c>
      <c r="F96" s="63"/>
      <c r="G96" s="63"/>
    </row>
    <row r="97" spans="1:7" x14ac:dyDescent="0.2">
      <c r="A97" s="206" t="str">
        <f>'[1]Beschr-Descr.'!A34</f>
        <v>Permessi goduti</v>
      </c>
      <c r="B97" s="295"/>
      <c r="C97" s="295">
        <f>'[1]Beschr-Descr.'!C34</f>
        <v>0</v>
      </c>
      <c r="D97" s="295">
        <f>'[1]Beschr-Descr.'!D34</f>
        <v>0</v>
      </c>
      <c r="E97" s="296">
        <f>'[1]Beschr-Descr.'!E34</f>
        <v>0</v>
      </c>
      <c r="F97" s="63"/>
      <c r="G97" s="63"/>
    </row>
    <row r="98" spans="1:7" x14ac:dyDescent="0.2">
      <c r="A98" s="206" t="str">
        <f>'[1]Beschr-Descr.'!A35</f>
        <v>Ferie non godute</v>
      </c>
      <c r="B98" s="295"/>
      <c r="C98" s="295">
        <f>'[1]Beschr-Descr.'!C35</f>
        <v>0</v>
      </c>
      <c r="D98" s="295">
        <f>'[1]Beschr-Descr.'!D35</f>
        <v>0</v>
      </c>
      <c r="E98" s="296">
        <f>'[1]Beschr-Descr.'!E35</f>
        <v>0</v>
      </c>
      <c r="F98" s="63"/>
      <c r="G98" s="63"/>
    </row>
    <row r="99" spans="1:7" x14ac:dyDescent="0.2">
      <c r="A99" s="206" t="str">
        <f>'[1]Beschr-Descr.'!A36</f>
        <v>Ferie non godute</v>
      </c>
      <c r="B99" s="295"/>
      <c r="C99" s="295">
        <f>'[1]Beschr-Descr.'!C36</f>
        <v>0</v>
      </c>
      <c r="D99" s="295">
        <f>'[1]Beschr-Descr.'!D36</f>
        <v>0</v>
      </c>
      <c r="E99" s="296">
        <f>'[1]Beschr-Descr.'!E36</f>
        <v>0</v>
      </c>
      <c r="F99" s="63"/>
      <c r="G99" s="63"/>
    </row>
    <row r="100" spans="1:7" x14ac:dyDescent="0.2">
      <c r="A100" s="206" t="str">
        <f>'[1]Beschr-Descr.'!A37</f>
        <v>Festività non godute</v>
      </c>
      <c r="B100" s="295"/>
      <c r="C100" s="295">
        <f>'[1]Beschr-Descr.'!C37</f>
        <v>0</v>
      </c>
      <c r="D100" s="295">
        <f>'[1]Beschr-Descr.'!D37</f>
        <v>0</v>
      </c>
      <c r="E100" s="296">
        <f>'[1]Beschr-Descr.'!E37</f>
        <v>0</v>
      </c>
      <c r="F100" s="63"/>
      <c r="G100" s="63"/>
    </row>
    <row r="101" spans="1:7" x14ac:dyDescent="0.2">
      <c r="A101" s="206" t="str">
        <f>'[1]Beschr-Descr.'!A38</f>
        <v>Indennità rischio cassa</v>
      </c>
      <c r="B101" s="295"/>
      <c r="C101" s="295">
        <f>'[1]Beschr-Descr.'!C38</f>
        <v>0</v>
      </c>
      <c r="D101" s="295">
        <f>'[1]Beschr-Descr.'!D38</f>
        <v>0</v>
      </c>
      <c r="E101" s="296">
        <f>'[1]Beschr-Descr.'!E38</f>
        <v>0</v>
      </c>
      <c r="F101" s="63"/>
      <c r="G101" s="63"/>
    </row>
    <row r="102" spans="1:7" x14ac:dyDescent="0.2">
      <c r="A102" s="206">
        <f>'[1]Beschr-Descr.'!A39</f>
        <v>0</v>
      </c>
      <c r="B102" s="295"/>
      <c r="C102" s="295">
        <f>'[1]Beschr-Descr.'!C39</f>
        <v>0</v>
      </c>
      <c r="D102" s="295">
        <f>'[1]Beschr-Descr.'!D39</f>
        <v>0</v>
      </c>
      <c r="E102" s="296">
        <f>'[1]Beschr-Descr.'!E39</f>
        <v>0</v>
      </c>
      <c r="F102" s="63"/>
      <c r="G102" s="63"/>
    </row>
    <row r="103" spans="1:7" x14ac:dyDescent="0.2">
      <c r="A103" s="206" t="str">
        <f>'[1]Beschr-Descr.'!A40</f>
        <v>Ore straordinarie 15%</v>
      </c>
      <c r="B103" s="295"/>
      <c r="C103" s="295">
        <f>'[1]Beschr-Descr.'!C40</f>
        <v>0</v>
      </c>
      <c r="D103" s="295">
        <f>'[1]Beschr-Descr.'!D40</f>
        <v>0</v>
      </c>
      <c r="E103" s="296">
        <f>'[1]Beschr-Descr.'!E40</f>
        <v>0.15</v>
      </c>
      <c r="F103" s="63"/>
      <c r="G103" s="63"/>
    </row>
    <row r="104" spans="1:7" x14ac:dyDescent="0.2">
      <c r="A104" s="206" t="str">
        <f>'[1]Beschr-Descr.'!A41</f>
        <v>Ore straordinarie 20%</v>
      </c>
      <c r="B104" s="295"/>
      <c r="C104" s="295">
        <f>'[1]Beschr-Descr.'!C41</f>
        <v>0</v>
      </c>
      <c r="D104" s="295">
        <f>'[1]Beschr-Descr.'!D41</f>
        <v>0</v>
      </c>
      <c r="E104" s="296">
        <f>'[1]Beschr-Descr.'!E41</f>
        <v>0.2</v>
      </c>
      <c r="F104" s="63"/>
      <c r="G104" s="63"/>
    </row>
    <row r="105" spans="1:7" x14ac:dyDescent="0.2">
      <c r="A105" s="206" t="str">
        <f>'[1]Beschr-Descr.'!A42</f>
        <v>Ore straordinarie 30%</v>
      </c>
      <c r="B105" s="295"/>
      <c r="C105" s="295">
        <f>'[1]Beschr-Descr.'!C42</f>
        <v>0</v>
      </c>
      <c r="D105" s="295">
        <f>'[1]Beschr-Descr.'!D42</f>
        <v>0</v>
      </c>
      <c r="E105" s="296">
        <f>'[1]Beschr-Descr.'!E42</f>
        <v>0.3</v>
      </c>
      <c r="F105" s="63"/>
      <c r="G105" s="63"/>
    </row>
    <row r="106" spans="1:7" x14ac:dyDescent="0.2">
      <c r="A106" s="206" t="str">
        <f>'[1]Beschr-Descr.'!A43</f>
        <v>Ore straordinarie 50%</v>
      </c>
      <c r="B106" s="295"/>
      <c r="C106" s="295">
        <f>'[1]Beschr-Descr.'!C43</f>
        <v>0</v>
      </c>
      <c r="D106" s="295">
        <f>'[1]Beschr-Descr.'!D43</f>
        <v>0</v>
      </c>
      <c r="E106" s="296">
        <f>'[1]Beschr-Descr.'!E43</f>
        <v>0.5</v>
      </c>
      <c r="F106" s="63"/>
      <c r="G106" s="63"/>
    </row>
    <row r="107" spans="1:7" x14ac:dyDescent="0.2">
      <c r="A107" s="206" t="str">
        <f>'[1]Beschr-Descr.'!A44</f>
        <v>Ore notturne 50%</v>
      </c>
      <c r="B107" s="295"/>
      <c r="C107" s="295">
        <f>'[1]Beschr-Descr.'!C44</f>
        <v>0</v>
      </c>
      <c r="D107" s="295">
        <f>'[1]Beschr-Descr.'!D44</f>
        <v>0</v>
      </c>
      <c r="E107" s="296">
        <f>'[1]Beschr-Descr.'!E44</f>
        <v>0.5</v>
      </c>
      <c r="F107" s="63"/>
      <c r="G107" s="63"/>
    </row>
    <row r="108" spans="1:7" x14ac:dyDescent="0.2">
      <c r="A108" s="206">
        <f>'[1]Beschr-Descr.'!A45</f>
        <v>0</v>
      </c>
      <c r="B108" s="295"/>
      <c r="C108" s="295">
        <f>'[1]Beschr-Descr.'!C45</f>
        <v>0</v>
      </c>
      <c r="D108" s="295">
        <f>'[1]Beschr-Descr.'!D45</f>
        <v>0</v>
      </c>
      <c r="E108" s="296">
        <f>'[1]Beschr-Descr.'!E45</f>
        <v>0</v>
      </c>
      <c r="F108" s="63"/>
      <c r="G108" s="63"/>
    </row>
    <row r="109" spans="1:7" x14ac:dyDescent="0.2">
      <c r="A109" s="206" t="str">
        <f>'[1]Beschr-Descr.'!A46</f>
        <v>Indennità di malattia totale</v>
      </c>
      <c r="B109" s="295"/>
      <c r="C109" s="295">
        <f>'[1]Beschr-Descr.'!C46</f>
        <v>0</v>
      </c>
      <c r="D109" s="295">
        <f>'[1]Beschr-Descr.'!D46</f>
        <v>0</v>
      </c>
      <c r="E109" s="296">
        <f>'[1]Beschr-Descr.'!E46</f>
        <v>0</v>
      </c>
      <c r="F109" s="63"/>
      <c r="G109" s="63"/>
    </row>
    <row r="110" spans="1:7" x14ac:dyDescent="0.2">
      <c r="A110" s="206" t="str">
        <f>'[1]Beschr-Descr.'!A47</f>
        <v>Indennità di malattia quota INPS 50%</v>
      </c>
      <c r="B110" s="295"/>
      <c r="C110" s="295">
        <f>'[1]Beschr-Descr.'!C47</f>
        <v>0</v>
      </c>
      <c r="D110" s="295">
        <f>'[1]Beschr-Descr.'!D47</f>
        <v>0</v>
      </c>
      <c r="E110" s="296">
        <f>'[1]Beschr-Descr.'!E47</f>
        <v>-0.5</v>
      </c>
      <c r="F110" s="63"/>
      <c r="G110" s="63"/>
    </row>
    <row r="111" spans="1:7" x14ac:dyDescent="0.2">
      <c r="A111" s="206" t="str">
        <f>'[1]Beschr-Descr.'!A48</f>
        <v>Indennità di malattia quota INPS 66,67%</v>
      </c>
      <c r="B111" s="295"/>
      <c r="C111" s="295">
        <f>'[1]Beschr-Descr.'!C48</f>
        <v>0</v>
      </c>
      <c r="D111" s="295">
        <f>'[1]Beschr-Descr.'!D48</f>
        <v>0</v>
      </c>
      <c r="E111" s="296">
        <f>'[1]Beschr-Descr.'!E48</f>
        <v>-0.66669999999999996</v>
      </c>
      <c r="F111" s="63"/>
      <c r="G111" s="63"/>
    </row>
    <row r="112" spans="1:7" x14ac:dyDescent="0.2">
      <c r="A112" s="206" t="str">
        <f>'[1]Beschr-Descr.'!A49</f>
        <v>Indennità di maternità importo totale</v>
      </c>
      <c r="B112" s="295"/>
      <c r="C112" s="295">
        <f>'[1]Beschr-Descr.'!C49</f>
        <v>0</v>
      </c>
      <c r="D112" s="295">
        <f>'[1]Beschr-Descr.'!D49</f>
        <v>0</v>
      </c>
      <c r="E112" s="296">
        <f>'[1]Beschr-Descr.'!E49</f>
        <v>0</v>
      </c>
      <c r="F112" s="63"/>
      <c r="G112" s="63"/>
    </row>
    <row r="113" spans="1:7" x14ac:dyDescent="0.2">
      <c r="A113" s="206" t="str">
        <f>'[1]Beschr-Descr.'!A50</f>
        <v>Indennità di maternità quota INPS 80,00%</v>
      </c>
      <c r="B113" s="295"/>
      <c r="C113" s="295">
        <f>'[1]Beschr-Descr.'!C50</f>
        <v>0</v>
      </c>
      <c r="D113" s="295">
        <f>'[1]Beschr-Descr.'!D50</f>
        <v>0</v>
      </c>
      <c r="E113" s="296">
        <f>'[1]Beschr-Descr.'!E50</f>
        <v>-0.8</v>
      </c>
      <c r="F113" s="63"/>
      <c r="G113" s="63"/>
    </row>
    <row r="114" spans="1:7" x14ac:dyDescent="0.2">
      <c r="A114" s="206" t="str">
        <f>'[1]Beschr-Descr.'!A51</f>
        <v>Lordizzazione indennità malattia quota INPS</v>
      </c>
      <c r="B114" s="295"/>
      <c r="C114" s="295">
        <f>'[1]Beschr-Descr.'!C51</f>
        <v>0</v>
      </c>
      <c r="D114" s="295">
        <f>'[1]Beschr-Descr.'!D51</f>
        <v>0</v>
      </c>
      <c r="E114" s="296">
        <f>'[1]Beschr-Descr.'!E51</f>
        <v>0.1012</v>
      </c>
      <c r="F114" s="63"/>
      <c r="G114" s="63"/>
    </row>
    <row r="115" spans="1:7" x14ac:dyDescent="0.2">
      <c r="A115" s="206">
        <f>'[1]Beschr-Descr.'!A52</f>
        <v>0</v>
      </c>
      <c r="B115" s="295"/>
      <c r="C115" s="295">
        <f>'[1]Beschr-Descr.'!C52</f>
        <v>0</v>
      </c>
      <c r="D115" s="295">
        <f>'[1]Beschr-Descr.'!D52</f>
        <v>0</v>
      </c>
      <c r="E115" s="296">
        <f>'[1]Beschr-Descr.'!E52</f>
        <v>0</v>
      </c>
      <c r="F115" s="63"/>
      <c r="G115" s="63"/>
    </row>
    <row r="116" spans="1:7" x14ac:dyDescent="0.2">
      <c r="A116" s="206" t="str">
        <f>'[1]Beschr-Descr.'!A53</f>
        <v>13a mensilità</v>
      </c>
      <c r="B116" s="295"/>
      <c r="C116" s="295">
        <f>'[1]Beschr-Descr.'!C53</f>
        <v>0</v>
      </c>
      <c r="D116" s="295">
        <f>'[1]Beschr-Descr.'!D53</f>
        <v>0</v>
      </c>
      <c r="E116" s="296">
        <f>'[1]Beschr-Descr.'!E53</f>
        <v>0</v>
      </c>
      <c r="F116" s="63"/>
      <c r="G116" s="63"/>
    </row>
    <row r="117" spans="1:7" x14ac:dyDescent="0.2">
      <c r="A117" s="206" t="str">
        <f>'[1]Beschr-Descr.'!A54</f>
        <v>14a mensilità</v>
      </c>
      <c r="B117" s="295"/>
      <c r="C117" s="295">
        <f>'[1]Beschr-Descr.'!C54</f>
        <v>0</v>
      </c>
      <c r="D117" s="295">
        <f>'[1]Beschr-Descr.'!D54</f>
        <v>0</v>
      </c>
      <c r="E117" s="296">
        <f>'[1]Beschr-Descr.'!E54</f>
        <v>0</v>
      </c>
      <c r="F117" s="63"/>
      <c r="G117" s="63"/>
    </row>
    <row r="118" spans="1:7" x14ac:dyDescent="0.2">
      <c r="A118" s="206" t="str">
        <f>'[1]Beschr-Descr.'!A55</f>
        <v>Mancato rispetto periodo preavviso licenziamento</v>
      </c>
      <c r="B118" s="295"/>
      <c r="C118" s="295">
        <f>'[1]Beschr-Descr.'!C55</f>
        <v>0</v>
      </c>
      <c r="D118" s="295">
        <f>'[1]Beschr-Descr.'!D55</f>
        <v>0</v>
      </c>
      <c r="E118" s="296">
        <f>'[1]Beschr-Descr.'!E55</f>
        <v>0</v>
      </c>
      <c r="F118" s="63"/>
      <c r="G118" s="63"/>
    </row>
    <row r="119" spans="1:7" x14ac:dyDescent="0.2">
      <c r="A119" s="206" t="str">
        <f>'[1]Beschr-Descr.'!A56</f>
        <v>Una Tantum</v>
      </c>
      <c r="B119" s="295"/>
      <c r="C119" s="295">
        <f>'[1]Beschr-Descr.'!C56</f>
        <v>0</v>
      </c>
      <c r="D119" s="295">
        <f>'[1]Beschr-Descr.'!D56</f>
        <v>0</v>
      </c>
      <c r="E119" s="296">
        <f>'[1]Beschr-Descr.'!E56</f>
        <v>0</v>
      </c>
      <c r="F119" s="63"/>
      <c r="G119" s="63"/>
    </row>
    <row r="120" spans="1:7" x14ac:dyDescent="0.2">
      <c r="A120" s="206" t="str">
        <f>'[1]Beschr-Descr.'!A57</f>
        <v>Premio</v>
      </c>
      <c r="B120" s="295"/>
      <c r="C120" s="295">
        <f>'[1]Beschr-Descr.'!C57</f>
        <v>0</v>
      </c>
      <c r="D120" s="295">
        <f>'[1]Beschr-Descr.'!D57</f>
        <v>0</v>
      </c>
      <c r="E120" s="296">
        <f>'[1]Beschr-Descr.'!E57</f>
        <v>0</v>
      </c>
      <c r="F120" s="63"/>
      <c r="G120" s="63"/>
    </row>
    <row r="121" spans="1:7" x14ac:dyDescent="0.2">
      <c r="A121" s="206">
        <f>'[1]Beschr-Descr.'!A58</f>
        <v>0</v>
      </c>
      <c r="B121" s="295"/>
      <c r="C121" s="295">
        <f>'[1]Beschr-Descr.'!C58</f>
        <v>0</v>
      </c>
      <c r="D121" s="295">
        <f>'[1]Beschr-Descr.'!D58</f>
        <v>0</v>
      </c>
      <c r="E121" s="296">
        <f>'[1]Beschr-Descr.'!E58</f>
        <v>0</v>
      </c>
      <c r="F121" s="63"/>
      <c r="G121" s="63"/>
    </row>
    <row r="122" spans="1:7" x14ac:dyDescent="0.2">
      <c r="A122" s="63">
        <f>'[1]Beschr-Descr.'!A63</f>
        <v>0</v>
      </c>
      <c r="B122" s="63"/>
      <c r="C122" s="63"/>
      <c r="D122" s="63"/>
      <c r="E122" s="63"/>
      <c r="F122" s="63"/>
      <c r="G122" s="63"/>
    </row>
    <row r="123" spans="1:7" x14ac:dyDescent="0.2">
      <c r="A123" s="63">
        <f>'[1]Beschr-Descr.'!A64</f>
        <v>0</v>
      </c>
      <c r="B123" s="63"/>
      <c r="C123" s="63"/>
      <c r="D123" s="63"/>
      <c r="E123" s="63"/>
      <c r="F123" s="63"/>
      <c r="G123" s="63"/>
    </row>
    <row r="124" spans="1:7" x14ac:dyDescent="0.2">
      <c r="A124" s="63">
        <f>'[1]Beschr-Descr.'!A65</f>
        <v>0</v>
      </c>
      <c r="B124" s="63"/>
      <c r="C124" s="63"/>
      <c r="D124" s="63"/>
      <c r="E124" s="63"/>
      <c r="F124" s="63"/>
      <c r="G124" s="63"/>
    </row>
    <row r="125" spans="1:7" x14ac:dyDescent="0.2">
      <c r="A125" s="63">
        <f>'[1]Beschr-Descr.'!A66</f>
        <v>0</v>
      </c>
      <c r="B125" s="63"/>
      <c r="C125" s="63"/>
      <c r="D125" s="63"/>
      <c r="E125" s="63"/>
      <c r="F125" s="63"/>
      <c r="G125" s="63"/>
    </row>
    <row r="126" spans="1:7" x14ac:dyDescent="0.2">
      <c r="A126" s="63">
        <f>'[1]Beschr-Descr.'!A67</f>
        <v>0</v>
      </c>
      <c r="B126" s="63"/>
      <c r="C126" s="63"/>
      <c r="D126" s="63"/>
      <c r="E126" s="63"/>
      <c r="F126" s="63"/>
      <c r="G126" s="63"/>
    </row>
    <row r="127" spans="1:7" x14ac:dyDescent="0.2">
      <c r="A127" s="63">
        <f>'[1]Beschr-Descr.'!A68</f>
        <v>0</v>
      </c>
      <c r="B127" s="63"/>
      <c r="C127" s="63"/>
      <c r="D127" s="63"/>
      <c r="E127" s="63"/>
      <c r="F127" s="63"/>
      <c r="G127" s="63"/>
    </row>
    <row r="128" spans="1:7" x14ac:dyDescent="0.2">
      <c r="A128" s="63">
        <f>'[1]Beschr-Descr.'!A69</f>
        <v>0</v>
      </c>
      <c r="B128" s="63"/>
      <c r="C128" s="63"/>
      <c r="D128" s="63"/>
      <c r="E128" s="63"/>
      <c r="F128" s="63"/>
      <c r="G128" s="63"/>
    </row>
    <row r="129" spans="1:7" x14ac:dyDescent="0.2">
      <c r="A129" s="63">
        <f>'[1]Beschr-Descr.'!A70</f>
        <v>0</v>
      </c>
      <c r="B129" s="63"/>
      <c r="C129" s="63"/>
      <c r="D129" s="63"/>
      <c r="E129" s="63"/>
      <c r="F129" s="63"/>
      <c r="G129" s="63"/>
    </row>
    <row r="130" spans="1:7" x14ac:dyDescent="0.2">
      <c r="A130" s="63">
        <f>'[1]Beschr-Descr.'!A71</f>
        <v>0</v>
      </c>
      <c r="B130" s="63"/>
      <c r="C130" s="63"/>
      <c r="D130" s="63"/>
      <c r="E130" s="63"/>
      <c r="F130" s="63"/>
      <c r="G130" s="63"/>
    </row>
    <row r="131" spans="1:7" x14ac:dyDescent="0.2">
      <c r="A131" s="63">
        <f>'[1]Beschr-Descr.'!A72</f>
        <v>0</v>
      </c>
      <c r="B131" s="63"/>
      <c r="C131" s="63"/>
      <c r="D131" s="63"/>
      <c r="E131" s="63"/>
      <c r="F131" s="63"/>
      <c r="G131" s="63"/>
    </row>
    <row r="132" spans="1:7" x14ac:dyDescent="0.2">
      <c r="A132" s="63">
        <f>'[1]Beschr-Descr.'!A73</f>
        <v>0</v>
      </c>
      <c r="B132" s="63"/>
      <c r="C132" s="63"/>
      <c r="D132" s="63"/>
      <c r="E132" s="63"/>
      <c r="F132" s="63"/>
      <c r="G132" s="63"/>
    </row>
    <row r="133" spans="1:7" x14ac:dyDescent="0.2">
      <c r="A133" s="63">
        <f>'[1]Beschr-Descr.'!A74</f>
        <v>0</v>
      </c>
      <c r="B133" s="63"/>
      <c r="C133" s="63"/>
      <c r="D133" s="63"/>
      <c r="E133" s="63"/>
      <c r="F133" s="63"/>
      <c r="G133" s="63"/>
    </row>
    <row r="134" spans="1:7" x14ac:dyDescent="0.2">
      <c r="A134" s="63">
        <f>'[1]Beschr-Descr.'!A75</f>
        <v>0</v>
      </c>
      <c r="B134" s="63"/>
      <c r="C134" s="63"/>
      <c r="D134" s="63"/>
      <c r="E134" s="63"/>
      <c r="F134" s="63"/>
      <c r="G134" s="63"/>
    </row>
    <row r="135" spans="1:7" x14ac:dyDescent="0.2">
      <c r="A135" s="63">
        <f>'[1]Beschr-Descr.'!A76</f>
        <v>0</v>
      </c>
      <c r="B135" s="63"/>
      <c r="C135" s="63"/>
      <c r="D135" s="63"/>
      <c r="E135" s="63"/>
      <c r="F135" s="63"/>
      <c r="G135" s="63"/>
    </row>
    <row r="136" spans="1:7" x14ac:dyDescent="0.2">
      <c r="A136" s="63">
        <f>'[1]Beschr-Descr.'!A77</f>
        <v>0</v>
      </c>
      <c r="B136" s="63"/>
      <c r="C136" s="63"/>
      <c r="D136" s="63"/>
      <c r="E136" s="63"/>
      <c r="F136" s="63"/>
      <c r="G136" s="63"/>
    </row>
    <row r="137" spans="1:7" x14ac:dyDescent="0.2">
      <c r="A137" s="63">
        <f>'[1]Beschr-Descr.'!A78</f>
        <v>0</v>
      </c>
      <c r="B137" s="63"/>
      <c r="C137" s="63"/>
      <c r="D137" s="63"/>
      <c r="E137" s="63"/>
      <c r="F137" s="63"/>
      <c r="G137" s="63"/>
    </row>
    <row r="138" spans="1:7" x14ac:dyDescent="0.2">
      <c r="A138" s="63">
        <f>'[1]Beschr-Descr.'!A79</f>
        <v>0</v>
      </c>
      <c r="B138" s="63"/>
      <c r="C138" s="63"/>
      <c r="D138" s="63"/>
      <c r="E138" s="63"/>
      <c r="F138" s="63"/>
      <c r="G138" s="63"/>
    </row>
    <row r="139" spans="1:7" x14ac:dyDescent="0.2">
      <c r="A139" s="63">
        <f>'[1]Beschr-Descr.'!A80</f>
        <v>0</v>
      </c>
      <c r="B139" s="63"/>
      <c r="C139" s="63"/>
      <c r="D139" s="63"/>
      <c r="E139" s="63"/>
      <c r="F139" s="63"/>
      <c r="G139" s="63"/>
    </row>
    <row r="140" spans="1:7" x14ac:dyDescent="0.2">
      <c r="A140" s="63">
        <f>'[1]Beschr-Descr.'!A81</f>
        <v>0</v>
      </c>
      <c r="B140" s="63"/>
      <c r="C140" s="63"/>
      <c r="D140" s="63"/>
      <c r="E140" s="63"/>
      <c r="F140" s="63"/>
      <c r="G140" s="63"/>
    </row>
    <row r="141" spans="1:7" x14ac:dyDescent="0.2">
      <c r="A141" s="63">
        <f>'[1]Beschr-Descr.'!A82</f>
        <v>0</v>
      </c>
      <c r="B141" s="63"/>
      <c r="C141" s="63"/>
      <c r="D141" s="63"/>
      <c r="E141" s="63"/>
      <c r="F141" s="63"/>
      <c r="G141" s="63"/>
    </row>
    <row r="142" spans="1:7" x14ac:dyDescent="0.2">
      <c r="A142" s="63">
        <f>'[1]Beschr-Descr.'!A83</f>
        <v>0</v>
      </c>
      <c r="B142" s="63"/>
      <c r="C142" s="63"/>
      <c r="D142" s="63"/>
      <c r="E142" s="63"/>
      <c r="F142" s="63"/>
      <c r="G142" s="63"/>
    </row>
    <row r="143" spans="1:7" x14ac:dyDescent="0.2">
      <c r="A143" s="63">
        <f>'[1]Beschr-Descr.'!A84</f>
        <v>0</v>
      </c>
      <c r="B143" s="63"/>
      <c r="C143" s="63"/>
      <c r="D143" s="63"/>
      <c r="E143" s="63"/>
      <c r="F143" s="63"/>
      <c r="G143" s="63"/>
    </row>
    <row r="144" spans="1:7" x14ac:dyDescent="0.2">
      <c r="A144" s="63">
        <f>'[1]Beschr-Descr.'!A85</f>
        <v>0</v>
      </c>
      <c r="B144" s="63"/>
      <c r="C144" s="63"/>
      <c r="D144" s="63"/>
      <c r="E144" s="63"/>
      <c r="F144" s="63"/>
      <c r="G144" s="63"/>
    </row>
    <row r="145" spans="1:7" x14ac:dyDescent="0.2">
      <c r="A145" s="63">
        <f>'[1]Beschr-Descr.'!A86</f>
        <v>0</v>
      </c>
      <c r="B145" s="63"/>
      <c r="C145" s="63"/>
      <c r="D145" s="63"/>
      <c r="E145" s="63"/>
      <c r="F145" s="63"/>
      <c r="G145" s="63"/>
    </row>
    <row r="146" spans="1:7" x14ac:dyDescent="0.2">
      <c r="A146" s="63">
        <f>'[1]Beschr-Descr.'!A87</f>
        <v>0</v>
      </c>
      <c r="B146" s="63"/>
      <c r="C146" s="63"/>
      <c r="D146" s="63"/>
      <c r="E146" s="63"/>
      <c r="F146" s="63"/>
      <c r="G146" s="63"/>
    </row>
    <row r="147" spans="1:7" x14ac:dyDescent="0.2">
      <c r="A147" s="63">
        <f>'[1]Beschr-Descr.'!A88</f>
        <v>0</v>
      </c>
      <c r="B147" s="63"/>
      <c r="C147" s="63"/>
      <c r="D147" s="63"/>
      <c r="E147" s="63"/>
      <c r="F147" s="63"/>
      <c r="G147" s="63"/>
    </row>
    <row r="148" spans="1:7" x14ac:dyDescent="0.2">
      <c r="A148" s="63">
        <f>'[1]Beschr-Descr.'!A89</f>
        <v>0</v>
      </c>
      <c r="B148" s="63"/>
      <c r="C148" s="63"/>
      <c r="D148" s="63"/>
      <c r="E148" s="63"/>
      <c r="F148" s="63"/>
      <c r="G148" s="63"/>
    </row>
    <row r="149" spans="1:7" x14ac:dyDescent="0.2">
      <c r="A149" s="63">
        <f>'[1]Beschr-Descr.'!A90</f>
        <v>0</v>
      </c>
      <c r="B149" s="63"/>
      <c r="C149" s="63"/>
      <c r="D149" s="63"/>
      <c r="E149" s="63"/>
      <c r="F149" s="63"/>
      <c r="G149" s="63"/>
    </row>
    <row r="150" spans="1:7" x14ac:dyDescent="0.2">
      <c r="A150" s="63">
        <f>'[1]Beschr-Descr.'!A91</f>
        <v>0</v>
      </c>
      <c r="B150" s="63"/>
      <c r="C150" s="63"/>
      <c r="D150" s="63"/>
      <c r="E150" s="63"/>
      <c r="F150" s="63"/>
      <c r="G150" s="63"/>
    </row>
    <row r="151" spans="1:7" x14ac:dyDescent="0.2">
      <c r="A151" s="63">
        <f>'[1]Beschr-Descr.'!A92</f>
        <v>0</v>
      </c>
      <c r="B151" s="63"/>
      <c r="C151" s="63"/>
      <c r="D151" s="63"/>
      <c r="E151" s="63"/>
      <c r="F151" s="63"/>
      <c r="G151" s="63"/>
    </row>
    <row r="152" spans="1:7" x14ac:dyDescent="0.2">
      <c r="A152" s="63">
        <f>'[1]Beschr-Descr.'!A93</f>
        <v>0</v>
      </c>
      <c r="B152" s="63"/>
      <c r="C152" s="63"/>
      <c r="D152" s="63"/>
      <c r="E152" s="63"/>
      <c r="F152" s="63"/>
      <c r="G152" s="63"/>
    </row>
    <row r="153" spans="1:7" x14ac:dyDescent="0.2">
      <c r="A153" s="63">
        <f>'[1]Beschr-Descr.'!A94</f>
        <v>0</v>
      </c>
      <c r="B153" s="63"/>
      <c r="C153" s="63"/>
      <c r="D153" s="63"/>
      <c r="E153" s="63"/>
      <c r="F153" s="63"/>
      <c r="G153" s="63"/>
    </row>
    <row r="154" spans="1:7" x14ac:dyDescent="0.2">
      <c r="A154" s="63">
        <f>'[1]Beschr-Descr.'!A95</f>
        <v>0</v>
      </c>
      <c r="B154" s="63"/>
      <c r="C154" s="63"/>
      <c r="D154" s="63"/>
      <c r="E154" s="63"/>
      <c r="F154" s="63"/>
      <c r="G154" s="63"/>
    </row>
    <row r="155" spans="1:7" x14ac:dyDescent="0.2">
      <c r="A155" s="63">
        <f>'[1]Beschr-Descr.'!A96</f>
        <v>0</v>
      </c>
      <c r="B155" s="63"/>
      <c r="C155" s="63"/>
      <c r="D155" s="63"/>
      <c r="E155" s="63"/>
      <c r="F155" s="63"/>
      <c r="G155" s="63"/>
    </row>
    <row r="156" spans="1:7" x14ac:dyDescent="0.2">
      <c r="A156" s="63">
        <f>'[1]Beschr-Descr.'!A97</f>
        <v>0</v>
      </c>
      <c r="B156" s="63"/>
      <c r="C156" s="63"/>
      <c r="D156" s="63"/>
      <c r="E156" s="63"/>
      <c r="F156" s="63"/>
      <c r="G156" s="63"/>
    </row>
    <row r="157" spans="1:7" x14ac:dyDescent="0.2">
      <c r="A157" s="63">
        <f>'[1]Beschr-Descr.'!A98</f>
        <v>0</v>
      </c>
      <c r="B157" s="63"/>
      <c r="C157" s="63"/>
      <c r="D157" s="63"/>
      <c r="E157" s="63"/>
      <c r="F157" s="63"/>
      <c r="G157" s="63"/>
    </row>
    <row r="158" spans="1:7" x14ac:dyDescent="0.2">
      <c r="A158" s="63">
        <f>'[1]Beschr-Descr.'!A99</f>
        <v>0</v>
      </c>
      <c r="B158" s="63"/>
      <c r="C158" s="63"/>
      <c r="D158" s="63"/>
      <c r="E158" s="63"/>
      <c r="F158" s="63"/>
      <c r="G158" s="63"/>
    </row>
    <row r="159" spans="1:7" x14ac:dyDescent="0.2">
      <c r="A159" s="63">
        <f>'[1]Beschr-Descr.'!A100</f>
        <v>0</v>
      </c>
      <c r="B159" s="63"/>
      <c r="C159" s="63"/>
      <c r="D159" s="63"/>
      <c r="E159" s="63"/>
      <c r="F159" s="63"/>
      <c r="G159" s="63"/>
    </row>
    <row r="160" spans="1:7" x14ac:dyDescent="0.2">
      <c r="A160" s="63">
        <f>'[1]Beschr-Descr.'!A101</f>
        <v>0</v>
      </c>
      <c r="B160" s="63"/>
      <c r="C160" s="63"/>
      <c r="D160" s="63"/>
      <c r="E160" s="63"/>
      <c r="F160" s="63"/>
      <c r="G160" s="63"/>
    </row>
    <row r="161" spans="1:7" x14ac:dyDescent="0.2">
      <c r="A161" s="63">
        <f>'[1]Beschr-Descr.'!A102</f>
        <v>0</v>
      </c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361950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Wolfgang Lanz</cp:lastModifiedBy>
  <cp:lastPrinted>2017-09-29T10:55:49Z</cp:lastPrinted>
  <dcterms:created xsi:type="dcterms:W3CDTF">2003-02-04T09:51:06Z</dcterms:created>
  <dcterms:modified xsi:type="dcterms:W3CDTF">2023-02-09T08:51:03Z</dcterms:modified>
</cp:coreProperties>
</file>