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drawings/drawing2.xml" ContentType="application/vnd.openxmlformats-officedocument.drawing+xml"/>
  <Override PartName="/xl/ctrlProps/ctrlProp2.xml" ContentType="application/vnd.ms-excel.controlproperties+xml"/>
  <Override PartName="/xl/drawings/drawing3.xml" ContentType="application/vnd.openxmlformats-officedocument.drawing+xml"/>
  <Override PartName="/xl/ctrlProps/ctrlProp3.xml" ContentType="application/vnd.ms-excel.controlproperties+xml"/>
  <Override PartName="/xl/drawings/drawing4.xml" ContentType="application/vnd.openxmlformats-officedocument.drawing+xml"/>
  <Override PartName="/xl/ctrlProps/ctrlProp4.xml" ContentType="application/vnd.ms-excel.controlproperties+xml"/>
  <Override PartName="/xl/drawings/drawing5.xml" ContentType="application/vnd.openxmlformats-officedocument.drawing+xml"/>
  <Override PartName="/xl/ctrlProps/ctrlProp5.xml" ContentType="application/vnd.ms-excel.controlproperties+xml"/>
  <Override PartName="/xl/drawings/drawing6.xml" ContentType="application/vnd.openxmlformats-officedocument.drawing+xml"/>
  <Override PartName="/xl/ctrlProps/ctrlProp6.xml" ContentType="application/vnd.ms-excel.controlproperties+xml"/>
  <Override PartName="/xl/drawings/drawing7.xml" ContentType="application/vnd.openxmlformats-officedocument.drawing+xml"/>
  <Override PartName="/xl/ctrlProps/ctrlProp7.xml" ContentType="application/vnd.ms-excel.controlproperties+xml"/>
  <Override PartName="/xl/drawings/drawing8.xml" ContentType="application/vnd.openxmlformats-officedocument.drawing+xml"/>
  <Override PartName="/xl/ctrlProps/ctrlProp8.xml" ContentType="application/vnd.ms-excel.controlproperties+xml"/>
  <Override PartName="/xl/drawings/drawing9.xml" ContentType="application/vnd.openxmlformats-officedocument.drawing+xml"/>
  <Override PartName="/xl/ctrlProps/ctrlProp9.xml" ContentType="application/vnd.ms-excel.controlproperties+xml"/>
  <Override PartName="/xl/drawings/drawing10.xml" ContentType="application/vnd.openxmlformats-officedocument.drawing+xml"/>
  <Override PartName="/xl/ctrlProps/ctrlProp10.xml" ContentType="application/vnd.ms-excel.controlproperties+xml"/>
  <Override PartName="/xl/drawings/drawing11.xml" ContentType="application/vnd.openxmlformats-officedocument.drawing+xml"/>
  <Override PartName="/xl/ctrlProps/ctrlProp11.xml" ContentType="application/vnd.ms-excel.controlproperties+xml"/>
  <Override PartName="/xl/drawings/drawing12.xml" ContentType="application/vnd.openxmlformats-officedocument.drawing+xml"/>
  <Override PartName="/xl/ctrlProps/ctrlProp12.xml" ContentType="application/vnd.ms-excel.controlproperties+xml"/>
  <Override PartName="/xl/drawings/drawing13.xml" ContentType="application/vnd.openxmlformats-officedocument.drawing+xml"/>
  <Override PartName="/xl/ctrlProps/ctrlProp13.xml" ContentType="application/vnd.ms-excel.controlproperties+xml"/>
  <Override PartName="/xl/drawings/drawing14.xml" ContentType="application/vnd.openxmlformats-officedocument.drawing+xml"/>
  <Override PartName="/xl/ctrlProps/ctrlProp14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codeName="DieseArbeitsmappe"/>
  <mc:AlternateContent xmlns:mc="http://schemas.openxmlformats.org/markup-compatibility/2006">
    <mc:Choice Requires="x15">
      <x15ac:absPath xmlns:x15ac="http://schemas.microsoft.com/office/spreadsheetml/2010/11/ac" url="C:\Users\Admin\Documents\ASÜS LANZ\Lohn FRINO\Lohnprogramm 2024\FRINO PRO 2024B\FRINO PRO 2024B-IT\"/>
    </mc:Choice>
  </mc:AlternateContent>
  <xr:revisionPtr revIDLastSave="0" documentId="13_ncr:1_{BE035ECE-9AFB-4A3E-B0D9-3AA4081FD1BF}" xr6:coauthVersionLast="47" xr6:coauthVersionMax="47" xr10:uidLastSave="{00000000-0000-0000-0000-000000000000}"/>
  <bookViews>
    <workbookView xWindow="-120" yWindow="-120" windowWidth="29040" windowHeight="15720" tabRatio="723" xr2:uid="{00000000-000D-0000-FFFF-FFFF00000000}"/>
  </bookViews>
  <sheets>
    <sheet name="01" sheetId="7" r:id="rId1"/>
    <sheet name="02" sheetId="8" r:id="rId2"/>
    <sheet name="03" sheetId="9" r:id="rId3"/>
    <sheet name="04" sheetId="10" r:id="rId4"/>
    <sheet name="05" sheetId="11" r:id="rId5"/>
    <sheet name="06" sheetId="12" r:id="rId6"/>
    <sheet name="14" sheetId="14" r:id="rId7"/>
    <sheet name="07" sheetId="13" r:id="rId8"/>
    <sheet name="08" sheetId="15" r:id="rId9"/>
    <sheet name="09" sheetId="16" r:id="rId10"/>
    <sheet name="10" sheetId="17" r:id="rId11"/>
    <sheet name="11" sheetId="18" r:id="rId12"/>
    <sheet name="13" sheetId="19" r:id="rId13"/>
    <sheet name="12" sheetId="20" r:id="rId14"/>
    <sheet name="conguaglio" sheetId="23" r:id="rId15"/>
    <sheet name="Steuern" sheetId="21" state="hidden" r:id="rId16"/>
    <sheet name="Mit-1" sheetId="22" state="hidden" r:id="rId17"/>
  </sheets>
  <externalReferences>
    <externalReference r:id="rId18"/>
  </externalReferences>
  <definedNames>
    <definedName name="_xlnm.Print_Area" localSheetId="0">'01'!$A$1:$O$60</definedName>
    <definedName name="_xlnm.Print_Area" localSheetId="1">'02'!$A$1:$O$60</definedName>
    <definedName name="_xlnm.Print_Area" localSheetId="2">'03'!$A$1:$O$60</definedName>
    <definedName name="_xlnm.Print_Area" localSheetId="3">'04'!$A$1:$O$60</definedName>
    <definedName name="_xlnm.Print_Area" localSheetId="4">'05'!$A$1:$O$60</definedName>
    <definedName name="_xlnm.Print_Area" localSheetId="5">'06'!$A$1:$O$60</definedName>
    <definedName name="_xlnm.Print_Area" localSheetId="7">'07'!$A$1:$O$60</definedName>
    <definedName name="_xlnm.Print_Area" localSheetId="8">'08'!$A$1:$O$60</definedName>
    <definedName name="_xlnm.Print_Area" localSheetId="9">'09'!$A$1:$O$60</definedName>
    <definedName name="_xlnm.Print_Area" localSheetId="10">'10'!$A$1:$O$60</definedName>
    <definedName name="_xlnm.Print_Area" localSheetId="11">'11'!$A$1:$O$60</definedName>
    <definedName name="_xlnm.Print_Area" localSheetId="13">'12'!$A$1:$O$60</definedName>
    <definedName name="_xlnm.Print_Area" localSheetId="12">'13'!$A$1:$O$60</definedName>
    <definedName name="_xlnm.Print_Area" localSheetId="6">'14'!$A$1:$O$60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163" i="20" l="1"/>
  <c r="A162" i="20"/>
  <c r="A161" i="20"/>
  <c r="A160" i="20"/>
  <c r="A159" i="20"/>
  <c r="A158" i="20"/>
  <c r="A157" i="20"/>
  <c r="A156" i="20"/>
  <c r="A155" i="20"/>
  <c r="A154" i="20"/>
  <c r="A153" i="20"/>
  <c r="A152" i="20"/>
  <c r="A151" i="20"/>
  <c r="A150" i="20"/>
  <c r="A149" i="20"/>
  <c r="A148" i="20"/>
  <c r="A147" i="20"/>
  <c r="A146" i="20"/>
  <c r="A145" i="20"/>
  <c r="A144" i="20"/>
  <c r="A143" i="20"/>
  <c r="A142" i="20"/>
  <c r="A141" i="20"/>
  <c r="A140" i="20"/>
  <c r="A139" i="20"/>
  <c r="A138" i="20"/>
  <c r="A137" i="20"/>
  <c r="A136" i="20"/>
  <c r="A135" i="20"/>
  <c r="A134" i="20"/>
  <c r="A133" i="20"/>
  <c r="A132" i="20"/>
  <c r="A131" i="20"/>
  <c r="A130" i="20"/>
  <c r="A129" i="20"/>
  <c r="A128" i="20"/>
  <c r="A127" i="20"/>
  <c r="A126" i="20"/>
  <c r="A125" i="20"/>
  <c r="A124" i="20"/>
  <c r="A123" i="20"/>
  <c r="A122" i="20"/>
  <c r="E121" i="20"/>
  <c r="D121" i="20"/>
  <c r="C121" i="20"/>
  <c r="A121" i="20"/>
  <c r="E120" i="20"/>
  <c r="D120" i="20"/>
  <c r="C120" i="20"/>
  <c r="A120" i="20"/>
  <c r="E119" i="20"/>
  <c r="D119" i="20"/>
  <c r="C119" i="20"/>
  <c r="A119" i="20"/>
  <c r="E118" i="20"/>
  <c r="D118" i="20"/>
  <c r="C118" i="20"/>
  <c r="A118" i="20"/>
  <c r="E117" i="20"/>
  <c r="D117" i="20"/>
  <c r="C117" i="20"/>
  <c r="A117" i="20"/>
  <c r="E116" i="20"/>
  <c r="D116" i="20"/>
  <c r="C116" i="20"/>
  <c r="A116" i="20"/>
  <c r="E115" i="20"/>
  <c r="D115" i="20"/>
  <c r="C115" i="20"/>
  <c r="A115" i="20"/>
  <c r="E114" i="20"/>
  <c r="D114" i="20"/>
  <c r="C114" i="20"/>
  <c r="A114" i="20"/>
  <c r="E113" i="20"/>
  <c r="D113" i="20"/>
  <c r="C113" i="20"/>
  <c r="A113" i="20"/>
  <c r="E112" i="20"/>
  <c r="D112" i="20"/>
  <c r="C112" i="20"/>
  <c r="A112" i="20"/>
  <c r="E111" i="20"/>
  <c r="D111" i="20"/>
  <c r="C111" i="20"/>
  <c r="A111" i="20"/>
  <c r="E110" i="20"/>
  <c r="D110" i="20"/>
  <c r="C110" i="20"/>
  <c r="A110" i="20"/>
  <c r="E109" i="20"/>
  <c r="D109" i="20"/>
  <c r="C109" i="20"/>
  <c r="A109" i="20"/>
  <c r="E108" i="20"/>
  <c r="D108" i="20"/>
  <c r="C108" i="20"/>
  <c r="A108" i="20"/>
  <c r="E107" i="20"/>
  <c r="D107" i="20"/>
  <c r="C107" i="20"/>
  <c r="A107" i="20"/>
  <c r="E106" i="20"/>
  <c r="D106" i="20"/>
  <c r="C106" i="20"/>
  <c r="A106" i="20"/>
  <c r="E105" i="20"/>
  <c r="D105" i="20"/>
  <c r="C105" i="20"/>
  <c r="A105" i="20"/>
  <c r="E104" i="20"/>
  <c r="D104" i="20"/>
  <c r="C104" i="20"/>
  <c r="A104" i="20"/>
  <c r="E103" i="20"/>
  <c r="D103" i="20"/>
  <c r="C103" i="20"/>
  <c r="A103" i="20"/>
  <c r="E102" i="20"/>
  <c r="D102" i="20"/>
  <c r="C102" i="20"/>
  <c r="A102" i="20"/>
  <c r="E101" i="20"/>
  <c r="D101" i="20"/>
  <c r="C101" i="20"/>
  <c r="A101" i="20"/>
  <c r="E100" i="20"/>
  <c r="D100" i="20"/>
  <c r="C100" i="20"/>
  <c r="A100" i="20"/>
  <c r="E99" i="20"/>
  <c r="D99" i="20"/>
  <c r="C99" i="20"/>
  <c r="A99" i="20"/>
  <c r="E98" i="20"/>
  <c r="D98" i="20"/>
  <c r="C98" i="20"/>
  <c r="A98" i="20"/>
  <c r="E97" i="20"/>
  <c r="D97" i="20"/>
  <c r="C97" i="20"/>
  <c r="A97" i="20"/>
  <c r="E96" i="20"/>
  <c r="D96" i="20"/>
  <c r="C96" i="20"/>
  <c r="A96" i="20"/>
  <c r="E95" i="20"/>
  <c r="D95" i="20"/>
  <c r="C95" i="20"/>
  <c r="A95" i="20"/>
  <c r="E94" i="20"/>
  <c r="D94" i="20"/>
  <c r="C94" i="20"/>
  <c r="A94" i="20"/>
  <c r="E93" i="20"/>
  <c r="D93" i="20"/>
  <c r="C93" i="20"/>
  <c r="A93" i="20"/>
  <c r="E92" i="20"/>
  <c r="D92" i="20"/>
  <c r="C92" i="20"/>
  <c r="A92" i="20"/>
  <c r="E91" i="20"/>
  <c r="D91" i="20"/>
  <c r="C91" i="20"/>
  <c r="A91" i="20"/>
  <c r="E90" i="20"/>
  <c r="D90" i="20"/>
  <c r="C90" i="20"/>
  <c r="A90" i="20"/>
  <c r="E89" i="20"/>
  <c r="D89" i="20"/>
  <c r="C89" i="20"/>
  <c r="A89" i="20"/>
  <c r="E88" i="20"/>
  <c r="D88" i="20"/>
  <c r="C88" i="20"/>
  <c r="A88" i="20"/>
  <c r="E87" i="20"/>
  <c r="D87" i="20"/>
  <c r="C87" i="20"/>
  <c r="A87" i="20"/>
  <c r="E86" i="20"/>
  <c r="D86" i="20"/>
  <c r="C86" i="20"/>
  <c r="A86" i="20"/>
  <c r="E85" i="20"/>
  <c r="D85" i="20"/>
  <c r="C85" i="20"/>
  <c r="A85" i="20"/>
  <c r="E84" i="20"/>
  <c r="D84" i="20"/>
  <c r="C84" i="20"/>
  <c r="A84" i="20"/>
  <c r="E83" i="20"/>
  <c r="D83" i="20"/>
  <c r="C83" i="20"/>
  <c r="A83" i="20"/>
  <c r="E82" i="20"/>
  <c r="D82" i="20"/>
  <c r="C82" i="20"/>
  <c r="A82" i="20"/>
  <c r="E81" i="20"/>
  <c r="D81" i="20"/>
  <c r="C81" i="20"/>
  <c r="A81" i="20"/>
  <c r="E80" i="20"/>
  <c r="D80" i="20"/>
  <c r="C80" i="20"/>
  <c r="A80" i="20"/>
  <c r="E79" i="20"/>
  <c r="D79" i="20"/>
  <c r="C79" i="20"/>
  <c r="A79" i="20"/>
  <c r="E78" i="20"/>
  <c r="D78" i="20"/>
  <c r="C78" i="20"/>
  <c r="A78" i="20"/>
  <c r="E77" i="20"/>
  <c r="D77" i="20"/>
  <c r="C77" i="20"/>
  <c r="A77" i="20"/>
  <c r="E76" i="20"/>
  <c r="D76" i="20"/>
  <c r="C76" i="20"/>
  <c r="A76" i="20"/>
  <c r="E75" i="20"/>
  <c r="D75" i="20"/>
  <c r="C75" i="20"/>
  <c r="A75" i="20"/>
  <c r="E74" i="20"/>
  <c r="D74" i="20"/>
  <c r="C74" i="20"/>
  <c r="A74" i="20"/>
  <c r="E73" i="20"/>
  <c r="D73" i="20"/>
  <c r="C73" i="20"/>
  <c r="A73" i="20"/>
  <c r="E72" i="20"/>
  <c r="D72" i="20"/>
  <c r="C72" i="20"/>
  <c r="A72" i="20"/>
  <c r="E71" i="20"/>
  <c r="D71" i="20"/>
  <c r="C71" i="20"/>
  <c r="A71" i="20"/>
  <c r="E70" i="20"/>
  <c r="D70" i="20"/>
  <c r="C70" i="20"/>
  <c r="A70" i="20"/>
  <c r="E69" i="20"/>
  <c r="D69" i="20"/>
  <c r="C69" i="20"/>
  <c r="A69" i="20"/>
  <c r="E68" i="20"/>
  <c r="D68" i="20"/>
  <c r="C68" i="20"/>
  <c r="A68" i="20"/>
  <c r="E67" i="20"/>
  <c r="D67" i="20"/>
  <c r="C67" i="20"/>
  <c r="A67" i="20"/>
  <c r="E66" i="20"/>
  <c r="D66" i="20"/>
  <c r="C66" i="20"/>
  <c r="B66" i="20"/>
  <c r="A66" i="20"/>
  <c r="A65" i="20"/>
  <c r="A64" i="20"/>
  <c r="A161" i="19"/>
  <c r="A160" i="19"/>
  <c r="A159" i="19"/>
  <c r="A158" i="19"/>
  <c r="A157" i="19"/>
  <c r="A156" i="19"/>
  <c r="A155" i="19"/>
  <c r="A154" i="19"/>
  <c r="A153" i="19"/>
  <c r="A152" i="19"/>
  <c r="A151" i="19"/>
  <c r="A150" i="19"/>
  <c r="A149" i="19"/>
  <c r="A148" i="19"/>
  <c r="A147" i="19"/>
  <c r="A146" i="19"/>
  <c r="A145" i="19"/>
  <c r="A144" i="19"/>
  <c r="A143" i="19"/>
  <c r="A142" i="19"/>
  <c r="A141" i="19"/>
  <c r="A140" i="19"/>
  <c r="A139" i="19"/>
  <c r="A138" i="19"/>
  <c r="A137" i="19"/>
  <c r="A136" i="19"/>
  <c r="A135" i="19"/>
  <c r="A134" i="19"/>
  <c r="A133" i="19"/>
  <c r="A132" i="19"/>
  <c r="A131" i="19"/>
  <c r="A130" i="19"/>
  <c r="A129" i="19"/>
  <c r="A128" i="19"/>
  <c r="A127" i="19"/>
  <c r="A126" i="19"/>
  <c r="A125" i="19"/>
  <c r="A124" i="19"/>
  <c r="A123" i="19"/>
  <c r="A122" i="19"/>
  <c r="E121" i="19"/>
  <c r="D121" i="19"/>
  <c r="C121" i="19"/>
  <c r="A121" i="19"/>
  <c r="E120" i="19"/>
  <c r="D120" i="19"/>
  <c r="C120" i="19"/>
  <c r="A120" i="19"/>
  <c r="E119" i="19"/>
  <c r="D119" i="19"/>
  <c r="C119" i="19"/>
  <c r="A119" i="19"/>
  <c r="E118" i="19"/>
  <c r="D118" i="19"/>
  <c r="C118" i="19"/>
  <c r="A118" i="19"/>
  <c r="E117" i="19"/>
  <c r="D117" i="19"/>
  <c r="C117" i="19"/>
  <c r="A117" i="19"/>
  <c r="E116" i="19"/>
  <c r="D116" i="19"/>
  <c r="C116" i="19"/>
  <c r="A116" i="19"/>
  <c r="E115" i="19"/>
  <c r="D115" i="19"/>
  <c r="C115" i="19"/>
  <c r="A115" i="19"/>
  <c r="E114" i="19"/>
  <c r="D114" i="19"/>
  <c r="C114" i="19"/>
  <c r="A114" i="19"/>
  <c r="E113" i="19"/>
  <c r="D113" i="19"/>
  <c r="C113" i="19"/>
  <c r="A113" i="19"/>
  <c r="E112" i="19"/>
  <c r="D112" i="19"/>
  <c r="C112" i="19"/>
  <c r="A112" i="19"/>
  <c r="E111" i="19"/>
  <c r="D111" i="19"/>
  <c r="C111" i="19"/>
  <c r="A111" i="19"/>
  <c r="E110" i="19"/>
  <c r="D110" i="19"/>
  <c r="C110" i="19"/>
  <c r="A110" i="19"/>
  <c r="E109" i="19"/>
  <c r="D109" i="19"/>
  <c r="C109" i="19"/>
  <c r="A109" i="19"/>
  <c r="E108" i="19"/>
  <c r="D108" i="19"/>
  <c r="C108" i="19"/>
  <c r="A108" i="19"/>
  <c r="E107" i="19"/>
  <c r="D107" i="19"/>
  <c r="C107" i="19"/>
  <c r="A107" i="19"/>
  <c r="E106" i="19"/>
  <c r="D106" i="19"/>
  <c r="C106" i="19"/>
  <c r="A106" i="19"/>
  <c r="E105" i="19"/>
  <c r="D105" i="19"/>
  <c r="C105" i="19"/>
  <c r="A105" i="19"/>
  <c r="E104" i="19"/>
  <c r="D104" i="19"/>
  <c r="C104" i="19"/>
  <c r="A104" i="19"/>
  <c r="E103" i="19"/>
  <c r="D103" i="19"/>
  <c r="C103" i="19"/>
  <c r="A103" i="19"/>
  <c r="E102" i="19"/>
  <c r="D102" i="19"/>
  <c r="C102" i="19"/>
  <c r="A102" i="19"/>
  <c r="E101" i="19"/>
  <c r="D101" i="19"/>
  <c r="C101" i="19"/>
  <c r="A101" i="19"/>
  <c r="E100" i="19"/>
  <c r="D100" i="19"/>
  <c r="C100" i="19"/>
  <c r="A100" i="19"/>
  <c r="E99" i="19"/>
  <c r="D99" i="19"/>
  <c r="C99" i="19"/>
  <c r="A99" i="19"/>
  <c r="E98" i="19"/>
  <c r="D98" i="19"/>
  <c r="C98" i="19"/>
  <c r="A98" i="19"/>
  <c r="E97" i="19"/>
  <c r="D97" i="19"/>
  <c r="C97" i="19"/>
  <c r="A97" i="19"/>
  <c r="E96" i="19"/>
  <c r="D96" i="19"/>
  <c r="C96" i="19"/>
  <c r="A96" i="19"/>
  <c r="E95" i="19"/>
  <c r="D95" i="19"/>
  <c r="C95" i="19"/>
  <c r="A95" i="19"/>
  <c r="E94" i="19"/>
  <c r="D94" i="19"/>
  <c r="C94" i="19"/>
  <c r="A94" i="19"/>
  <c r="E93" i="19"/>
  <c r="D93" i="19"/>
  <c r="C93" i="19"/>
  <c r="A93" i="19"/>
  <c r="E92" i="19"/>
  <c r="D92" i="19"/>
  <c r="C92" i="19"/>
  <c r="A92" i="19"/>
  <c r="E91" i="19"/>
  <c r="D91" i="19"/>
  <c r="C91" i="19"/>
  <c r="A91" i="19"/>
  <c r="E90" i="19"/>
  <c r="D90" i="19"/>
  <c r="C90" i="19"/>
  <c r="A90" i="19"/>
  <c r="E89" i="19"/>
  <c r="D89" i="19"/>
  <c r="C89" i="19"/>
  <c r="A89" i="19"/>
  <c r="E88" i="19"/>
  <c r="D88" i="19"/>
  <c r="C88" i="19"/>
  <c r="A88" i="19"/>
  <c r="E87" i="19"/>
  <c r="D87" i="19"/>
  <c r="C87" i="19"/>
  <c r="A87" i="19"/>
  <c r="E86" i="19"/>
  <c r="D86" i="19"/>
  <c r="C86" i="19"/>
  <c r="A86" i="19"/>
  <c r="E85" i="19"/>
  <c r="D85" i="19"/>
  <c r="C85" i="19"/>
  <c r="A85" i="19"/>
  <c r="E84" i="19"/>
  <c r="D84" i="19"/>
  <c r="C84" i="19"/>
  <c r="A84" i="19"/>
  <c r="E83" i="19"/>
  <c r="D83" i="19"/>
  <c r="C83" i="19"/>
  <c r="A83" i="19"/>
  <c r="E82" i="19"/>
  <c r="D82" i="19"/>
  <c r="C82" i="19"/>
  <c r="A82" i="19"/>
  <c r="E81" i="19"/>
  <c r="D81" i="19"/>
  <c r="C81" i="19"/>
  <c r="A81" i="19"/>
  <c r="E80" i="19"/>
  <c r="D80" i="19"/>
  <c r="C80" i="19"/>
  <c r="A80" i="19"/>
  <c r="E79" i="19"/>
  <c r="D79" i="19"/>
  <c r="C79" i="19"/>
  <c r="A79" i="19"/>
  <c r="E78" i="19"/>
  <c r="D78" i="19"/>
  <c r="C78" i="19"/>
  <c r="A78" i="19"/>
  <c r="E77" i="19"/>
  <c r="D77" i="19"/>
  <c r="C77" i="19"/>
  <c r="A77" i="19"/>
  <c r="E76" i="19"/>
  <c r="D76" i="19"/>
  <c r="C76" i="19"/>
  <c r="A76" i="19"/>
  <c r="E75" i="19"/>
  <c r="D75" i="19"/>
  <c r="C75" i="19"/>
  <c r="A75" i="19"/>
  <c r="E74" i="19"/>
  <c r="D74" i="19"/>
  <c r="C74" i="19"/>
  <c r="A74" i="19"/>
  <c r="E73" i="19"/>
  <c r="D73" i="19"/>
  <c r="C73" i="19"/>
  <c r="A73" i="19"/>
  <c r="E72" i="19"/>
  <c r="D72" i="19"/>
  <c r="C72" i="19"/>
  <c r="A72" i="19"/>
  <c r="E71" i="19"/>
  <c r="D71" i="19"/>
  <c r="C71" i="19"/>
  <c r="A71" i="19"/>
  <c r="E70" i="19"/>
  <c r="D70" i="19"/>
  <c r="C70" i="19"/>
  <c r="A70" i="19"/>
  <c r="E69" i="19"/>
  <c r="D69" i="19"/>
  <c r="C69" i="19"/>
  <c r="A69" i="19"/>
  <c r="E68" i="19"/>
  <c r="D68" i="19"/>
  <c r="C68" i="19"/>
  <c r="A68" i="19"/>
  <c r="E67" i="19"/>
  <c r="D67" i="19"/>
  <c r="C67" i="19"/>
  <c r="A67" i="19"/>
  <c r="E66" i="19"/>
  <c r="D66" i="19"/>
  <c r="C66" i="19"/>
  <c r="B66" i="19"/>
  <c r="A66" i="19"/>
  <c r="A65" i="19"/>
  <c r="A64" i="19"/>
  <c r="A161" i="18"/>
  <c r="A160" i="18"/>
  <c r="A159" i="18"/>
  <c r="A158" i="18"/>
  <c r="A157" i="18"/>
  <c r="A156" i="18"/>
  <c r="A155" i="18"/>
  <c r="A154" i="18"/>
  <c r="A153" i="18"/>
  <c r="A152" i="18"/>
  <c r="A151" i="18"/>
  <c r="A150" i="18"/>
  <c r="A149" i="18"/>
  <c r="A148" i="18"/>
  <c r="A147" i="18"/>
  <c r="A146" i="18"/>
  <c r="A145" i="18"/>
  <c r="A144" i="18"/>
  <c r="A143" i="18"/>
  <c r="A142" i="18"/>
  <c r="A141" i="18"/>
  <c r="A140" i="18"/>
  <c r="A139" i="18"/>
  <c r="A138" i="18"/>
  <c r="A137" i="18"/>
  <c r="A136" i="18"/>
  <c r="A135" i="18"/>
  <c r="A134" i="18"/>
  <c r="A133" i="18"/>
  <c r="A132" i="18"/>
  <c r="A131" i="18"/>
  <c r="A130" i="18"/>
  <c r="A129" i="18"/>
  <c r="A128" i="18"/>
  <c r="A127" i="18"/>
  <c r="A126" i="18"/>
  <c r="A125" i="18"/>
  <c r="A124" i="18"/>
  <c r="A123" i="18"/>
  <c r="A122" i="18"/>
  <c r="E121" i="18"/>
  <c r="D121" i="18"/>
  <c r="C121" i="18"/>
  <c r="A121" i="18"/>
  <c r="E120" i="18"/>
  <c r="D120" i="18"/>
  <c r="C120" i="18"/>
  <c r="A120" i="18"/>
  <c r="E119" i="18"/>
  <c r="D119" i="18"/>
  <c r="C119" i="18"/>
  <c r="A119" i="18"/>
  <c r="E118" i="18"/>
  <c r="D118" i="18"/>
  <c r="C118" i="18"/>
  <c r="A118" i="18"/>
  <c r="E117" i="18"/>
  <c r="D117" i="18"/>
  <c r="C117" i="18"/>
  <c r="A117" i="18"/>
  <c r="E116" i="18"/>
  <c r="D116" i="18"/>
  <c r="C116" i="18"/>
  <c r="A116" i="18"/>
  <c r="E115" i="18"/>
  <c r="D115" i="18"/>
  <c r="C115" i="18"/>
  <c r="A115" i="18"/>
  <c r="E114" i="18"/>
  <c r="D114" i="18"/>
  <c r="C114" i="18"/>
  <c r="A114" i="18"/>
  <c r="E113" i="18"/>
  <c r="D113" i="18"/>
  <c r="C113" i="18"/>
  <c r="A113" i="18"/>
  <c r="E112" i="18"/>
  <c r="D112" i="18"/>
  <c r="C112" i="18"/>
  <c r="A112" i="18"/>
  <c r="E111" i="18"/>
  <c r="D111" i="18"/>
  <c r="C111" i="18"/>
  <c r="A111" i="18"/>
  <c r="E110" i="18"/>
  <c r="D110" i="18"/>
  <c r="C110" i="18"/>
  <c r="A110" i="18"/>
  <c r="E109" i="18"/>
  <c r="D109" i="18"/>
  <c r="C109" i="18"/>
  <c r="A109" i="18"/>
  <c r="E108" i="18"/>
  <c r="D108" i="18"/>
  <c r="C108" i="18"/>
  <c r="A108" i="18"/>
  <c r="E107" i="18"/>
  <c r="D107" i="18"/>
  <c r="C107" i="18"/>
  <c r="A107" i="18"/>
  <c r="E106" i="18"/>
  <c r="D106" i="18"/>
  <c r="C106" i="18"/>
  <c r="A106" i="18"/>
  <c r="E105" i="18"/>
  <c r="D105" i="18"/>
  <c r="C105" i="18"/>
  <c r="A105" i="18"/>
  <c r="E104" i="18"/>
  <c r="D104" i="18"/>
  <c r="C104" i="18"/>
  <c r="A104" i="18"/>
  <c r="E103" i="18"/>
  <c r="D103" i="18"/>
  <c r="C103" i="18"/>
  <c r="A103" i="18"/>
  <c r="E102" i="18"/>
  <c r="D102" i="18"/>
  <c r="C102" i="18"/>
  <c r="A102" i="18"/>
  <c r="E101" i="18"/>
  <c r="D101" i="18"/>
  <c r="C101" i="18"/>
  <c r="A101" i="18"/>
  <c r="E100" i="18"/>
  <c r="D100" i="18"/>
  <c r="C100" i="18"/>
  <c r="A100" i="18"/>
  <c r="E99" i="18"/>
  <c r="D99" i="18"/>
  <c r="C99" i="18"/>
  <c r="A99" i="18"/>
  <c r="E98" i="18"/>
  <c r="D98" i="18"/>
  <c r="C98" i="18"/>
  <c r="A98" i="18"/>
  <c r="E97" i="18"/>
  <c r="D97" i="18"/>
  <c r="C97" i="18"/>
  <c r="A97" i="18"/>
  <c r="E96" i="18"/>
  <c r="D96" i="18"/>
  <c r="C96" i="18"/>
  <c r="A96" i="18"/>
  <c r="E95" i="18"/>
  <c r="D95" i="18"/>
  <c r="C95" i="18"/>
  <c r="A95" i="18"/>
  <c r="E94" i="18"/>
  <c r="D94" i="18"/>
  <c r="C94" i="18"/>
  <c r="A94" i="18"/>
  <c r="E93" i="18"/>
  <c r="D93" i="18"/>
  <c r="C93" i="18"/>
  <c r="A93" i="18"/>
  <c r="E92" i="18"/>
  <c r="D92" i="18"/>
  <c r="C92" i="18"/>
  <c r="A92" i="18"/>
  <c r="E91" i="18"/>
  <c r="D91" i="18"/>
  <c r="C91" i="18"/>
  <c r="A91" i="18"/>
  <c r="E90" i="18"/>
  <c r="D90" i="18"/>
  <c r="C90" i="18"/>
  <c r="A90" i="18"/>
  <c r="E89" i="18"/>
  <c r="D89" i="18"/>
  <c r="C89" i="18"/>
  <c r="A89" i="18"/>
  <c r="E88" i="18"/>
  <c r="D88" i="18"/>
  <c r="C88" i="18"/>
  <c r="A88" i="18"/>
  <c r="E87" i="18"/>
  <c r="D87" i="18"/>
  <c r="C87" i="18"/>
  <c r="A87" i="18"/>
  <c r="E86" i="18"/>
  <c r="D86" i="18"/>
  <c r="C86" i="18"/>
  <c r="A86" i="18"/>
  <c r="E85" i="18"/>
  <c r="D85" i="18"/>
  <c r="C85" i="18"/>
  <c r="A85" i="18"/>
  <c r="E84" i="18"/>
  <c r="D84" i="18"/>
  <c r="C84" i="18"/>
  <c r="A84" i="18"/>
  <c r="E83" i="18"/>
  <c r="D83" i="18"/>
  <c r="C83" i="18"/>
  <c r="A83" i="18"/>
  <c r="E82" i="18"/>
  <c r="D82" i="18"/>
  <c r="C82" i="18"/>
  <c r="A82" i="18"/>
  <c r="E81" i="18"/>
  <c r="D81" i="18"/>
  <c r="C81" i="18"/>
  <c r="A81" i="18"/>
  <c r="E80" i="18"/>
  <c r="D80" i="18"/>
  <c r="C80" i="18"/>
  <c r="A80" i="18"/>
  <c r="E79" i="18"/>
  <c r="D79" i="18"/>
  <c r="C79" i="18"/>
  <c r="A79" i="18"/>
  <c r="E78" i="18"/>
  <c r="D78" i="18"/>
  <c r="C78" i="18"/>
  <c r="A78" i="18"/>
  <c r="E77" i="18"/>
  <c r="D77" i="18"/>
  <c r="C77" i="18"/>
  <c r="A77" i="18"/>
  <c r="E76" i="18"/>
  <c r="D76" i="18"/>
  <c r="C76" i="18"/>
  <c r="A76" i="18"/>
  <c r="E75" i="18"/>
  <c r="D75" i="18"/>
  <c r="C75" i="18"/>
  <c r="A75" i="18"/>
  <c r="E74" i="18"/>
  <c r="D74" i="18"/>
  <c r="C74" i="18"/>
  <c r="A74" i="18"/>
  <c r="E73" i="18"/>
  <c r="D73" i="18"/>
  <c r="C73" i="18"/>
  <c r="A73" i="18"/>
  <c r="E72" i="18"/>
  <c r="D72" i="18"/>
  <c r="C72" i="18"/>
  <c r="A72" i="18"/>
  <c r="E71" i="18"/>
  <c r="D71" i="18"/>
  <c r="C71" i="18"/>
  <c r="A71" i="18"/>
  <c r="E70" i="18"/>
  <c r="D70" i="18"/>
  <c r="C70" i="18"/>
  <c r="A70" i="18"/>
  <c r="E69" i="18"/>
  <c r="D69" i="18"/>
  <c r="C69" i="18"/>
  <c r="A69" i="18"/>
  <c r="E68" i="18"/>
  <c r="D68" i="18"/>
  <c r="C68" i="18"/>
  <c r="A68" i="18"/>
  <c r="E67" i="18"/>
  <c r="D67" i="18"/>
  <c r="C67" i="18"/>
  <c r="A67" i="18"/>
  <c r="E66" i="18"/>
  <c r="D66" i="18"/>
  <c r="C66" i="18"/>
  <c r="B66" i="18"/>
  <c r="A66" i="18"/>
  <c r="A65" i="18"/>
  <c r="A64" i="18"/>
  <c r="A161" i="17"/>
  <c r="A160" i="17"/>
  <c r="A159" i="17"/>
  <c r="A158" i="17"/>
  <c r="A157" i="17"/>
  <c r="A156" i="17"/>
  <c r="A155" i="17"/>
  <c r="A154" i="17"/>
  <c r="A153" i="17"/>
  <c r="A152" i="17"/>
  <c r="A151" i="17"/>
  <c r="A150" i="17"/>
  <c r="A149" i="17"/>
  <c r="A148" i="17"/>
  <c r="A147" i="17"/>
  <c r="A146" i="17"/>
  <c r="A145" i="17"/>
  <c r="A144" i="17"/>
  <c r="A143" i="17"/>
  <c r="A142" i="17"/>
  <c r="A141" i="17"/>
  <c r="A140" i="17"/>
  <c r="A139" i="17"/>
  <c r="A138" i="17"/>
  <c r="A137" i="17"/>
  <c r="A136" i="17"/>
  <c r="A135" i="17"/>
  <c r="A134" i="17"/>
  <c r="A133" i="17"/>
  <c r="A132" i="17"/>
  <c r="A131" i="17"/>
  <c r="A130" i="17"/>
  <c r="A129" i="17"/>
  <c r="A128" i="17"/>
  <c r="A127" i="17"/>
  <c r="A126" i="17"/>
  <c r="A125" i="17"/>
  <c r="A124" i="17"/>
  <c r="A123" i="17"/>
  <c r="A122" i="17"/>
  <c r="E121" i="17"/>
  <c r="D121" i="17"/>
  <c r="C121" i="17"/>
  <c r="A121" i="17"/>
  <c r="E120" i="17"/>
  <c r="D120" i="17"/>
  <c r="C120" i="17"/>
  <c r="A120" i="17"/>
  <c r="E119" i="17"/>
  <c r="D119" i="17"/>
  <c r="C119" i="17"/>
  <c r="A119" i="17"/>
  <c r="E118" i="17"/>
  <c r="D118" i="17"/>
  <c r="C118" i="17"/>
  <c r="A118" i="17"/>
  <c r="E117" i="17"/>
  <c r="D117" i="17"/>
  <c r="C117" i="17"/>
  <c r="A117" i="17"/>
  <c r="E116" i="17"/>
  <c r="D116" i="17"/>
  <c r="C116" i="17"/>
  <c r="A116" i="17"/>
  <c r="E115" i="17"/>
  <c r="D115" i="17"/>
  <c r="C115" i="17"/>
  <c r="A115" i="17"/>
  <c r="E114" i="17"/>
  <c r="D114" i="17"/>
  <c r="C114" i="17"/>
  <c r="A114" i="17"/>
  <c r="E113" i="17"/>
  <c r="D113" i="17"/>
  <c r="C113" i="17"/>
  <c r="A113" i="17"/>
  <c r="E112" i="17"/>
  <c r="D112" i="17"/>
  <c r="C112" i="17"/>
  <c r="A112" i="17"/>
  <c r="E111" i="17"/>
  <c r="D111" i="17"/>
  <c r="C111" i="17"/>
  <c r="A111" i="17"/>
  <c r="E110" i="17"/>
  <c r="D110" i="17"/>
  <c r="C110" i="17"/>
  <c r="A110" i="17"/>
  <c r="E109" i="17"/>
  <c r="D109" i="17"/>
  <c r="C109" i="17"/>
  <c r="A109" i="17"/>
  <c r="E108" i="17"/>
  <c r="D108" i="17"/>
  <c r="C108" i="17"/>
  <c r="A108" i="17"/>
  <c r="E107" i="17"/>
  <c r="D107" i="17"/>
  <c r="C107" i="17"/>
  <c r="A107" i="17"/>
  <c r="E106" i="17"/>
  <c r="D106" i="17"/>
  <c r="C106" i="17"/>
  <c r="A106" i="17"/>
  <c r="E105" i="17"/>
  <c r="D105" i="17"/>
  <c r="C105" i="17"/>
  <c r="A105" i="17"/>
  <c r="E104" i="17"/>
  <c r="D104" i="17"/>
  <c r="C104" i="17"/>
  <c r="A104" i="17"/>
  <c r="E103" i="17"/>
  <c r="D103" i="17"/>
  <c r="C103" i="17"/>
  <c r="A103" i="17"/>
  <c r="E102" i="17"/>
  <c r="D102" i="17"/>
  <c r="C102" i="17"/>
  <c r="A102" i="17"/>
  <c r="E101" i="17"/>
  <c r="D101" i="17"/>
  <c r="C101" i="17"/>
  <c r="A101" i="17"/>
  <c r="E100" i="17"/>
  <c r="D100" i="17"/>
  <c r="C100" i="17"/>
  <c r="A100" i="17"/>
  <c r="E99" i="17"/>
  <c r="D99" i="17"/>
  <c r="C99" i="17"/>
  <c r="A99" i="17"/>
  <c r="E98" i="17"/>
  <c r="D98" i="17"/>
  <c r="C98" i="17"/>
  <c r="A98" i="17"/>
  <c r="E97" i="17"/>
  <c r="D97" i="17"/>
  <c r="C97" i="17"/>
  <c r="A97" i="17"/>
  <c r="E96" i="17"/>
  <c r="D96" i="17"/>
  <c r="C96" i="17"/>
  <c r="A96" i="17"/>
  <c r="E95" i="17"/>
  <c r="D95" i="17"/>
  <c r="C95" i="17"/>
  <c r="A95" i="17"/>
  <c r="E94" i="17"/>
  <c r="D94" i="17"/>
  <c r="C94" i="17"/>
  <c r="A94" i="17"/>
  <c r="E93" i="17"/>
  <c r="D93" i="17"/>
  <c r="C93" i="17"/>
  <c r="A93" i="17"/>
  <c r="E92" i="17"/>
  <c r="D92" i="17"/>
  <c r="C92" i="17"/>
  <c r="A92" i="17"/>
  <c r="E91" i="17"/>
  <c r="D91" i="17"/>
  <c r="C91" i="17"/>
  <c r="A91" i="17"/>
  <c r="E90" i="17"/>
  <c r="D90" i="17"/>
  <c r="C90" i="17"/>
  <c r="A90" i="17"/>
  <c r="E89" i="17"/>
  <c r="D89" i="17"/>
  <c r="C89" i="17"/>
  <c r="A89" i="17"/>
  <c r="E88" i="17"/>
  <c r="D88" i="17"/>
  <c r="C88" i="17"/>
  <c r="A88" i="17"/>
  <c r="E87" i="17"/>
  <c r="D87" i="17"/>
  <c r="C87" i="17"/>
  <c r="A87" i="17"/>
  <c r="E86" i="17"/>
  <c r="D86" i="17"/>
  <c r="C86" i="17"/>
  <c r="A86" i="17"/>
  <c r="E85" i="17"/>
  <c r="D85" i="17"/>
  <c r="C85" i="17"/>
  <c r="A85" i="17"/>
  <c r="E84" i="17"/>
  <c r="D84" i="17"/>
  <c r="C84" i="17"/>
  <c r="A84" i="17"/>
  <c r="E83" i="17"/>
  <c r="D83" i="17"/>
  <c r="C83" i="17"/>
  <c r="A83" i="17"/>
  <c r="E82" i="17"/>
  <c r="D82" i="17"/>
  <c r="C82" i="17"/>
  <c r="A82" i="17"/>
  <c r="E81" i="17"/>
  <c r="D81" i="17"/>
  <c r="C81" i="17"/>
  <c r="A81" i="17"/>
  <c r="E80" i="17"/>
  <c r="D80" i="17"/>
  <c r="C80" i="17"/>
  <c r="A80" i="17"/>
  <c r="E79" i="17"/>
  <c r="D79" i="17"/>
  <c r="C79" i="17"/>
  <c r="A79" i="17"/>
  <c r="E78" i="17"/>
  <c r="D78" i="17"/>
  <c r="C78" i="17"/>
  <c r="A78" i="17"/>
  <c r="E77" i="17"/>
  <c r="D77" i="17"/>
  <c r="C77" i="17"/>
  <c r="A77" i="17"/>
  <c r="E76" i="17"/>
  <c r="D76" i="17"/>
  <c r="C76" i="17"/>
  <c r="A76" i="17"/>
  <c r="E75" i="17"/>
  <c r="D75" i="17"/>
  <c r="C75" i="17"/>
  <c r="A75" i="17"/>
  <c r="E74" i="17"/>
  <c r="D74" i="17"/>
  <c r="C74" i="17"/>
  <c r="A74" i="17"/>
  <c r="E73" i="17"/>
  <c r="D73" i="17"/>
  <c r="C73" i="17"/>
  <c r="A73" i="17"/>
  <c r="E72" i="17"/>
  <c r="D72" i="17"/>
  <c r="C72" i="17"/>
  <c r="A72" i="17"/>
  <c r="E71" i="17"/>
  <c r="D71" i="17"/>
  <c r="C71" i="17"/>
  <c r="A71" i="17"/>
  <c r="E70" i="17"/>
  <c r="D70" i="17"/>
  <c r="C70" i="17"/>
  <c r="A70" i="17"/>
  <c r="E69" i="17"/>
  <c r="D69" i="17"/>
  <c r="C69" i="17"/>
  <c r="A69" i="17"/>
  <c r="E68" i="17"/>
  <c r="D68" i="17"/>
  <c r="C68" i="17"/>
  <c r="A68" i="17"/>
  <c r="E67" i="17"/>
  <c r="D67" i="17"/>
  <c r="C67" i="17"/>
  <c r="A67" i="17"/>
  <c r="E66" i="17"/>
  <c r="D66" i="17"/>
  <c r="C66" i="17"/>
  <c r="B66" i="17"/>
  <c r="A66" i="17"/>
  <c r="A65" i="17"/>
  <c r="A64" i="17"/>
  <c r="A161" i="16"/>
  <c r="A160" i="16"/>
  <c r="A159" i="16"/>
  <c r="A158" i="16"/>
  <c r="A157" i="16"/>
  <c r="A156" i="16"/>
  <c r="A155" i="16"/>
  <c r="A154" i="16"/>
  <c r="A153" i="16"/>
  <c r="A152" i="16"/>
  <c r="A151" i="16"/>
  <c r="A150" i="16"/>
  <c r="A149" i="16"/>
  <c r="A148" i="16"/>
  <c r="A147" i="16"/>
  <c r="A146" i="16"/>
  <c r="A145" i="16"/>
  <c r="A144" i="16"/>
  <c r="A143" i="16"/>
  <c r="A142" i="16"/>
  <c r="A141" i="16"/>
  <c r="A140" i="16"/>
  <c r="A139" i="16"/>
  <c r="A138" i="16"/>
  <c r="A137" i="16"/>
  <c r="A136" i="16"/>
  <c r="A135" i="16"/>
  <c r="A134" i="16"/>
  <c r="A133" i="16"/>
  <c r="A132" i="16"/>
  <c r="A131" i="16"/>
  <c r="A130" i="16"/>
  <c r="A129" i="16"/>
  <c r="A128" i="16"/>
  <c r="A127" i="16"/>
  <c r="A126" i="16"/>
  <c r="A125" i="16"/>
  <c r="A124" i="16"/>
  <c r="A123" i="16"/>
  <c r="A122" i="16"/>
  <c r="E121" i="16"/>
  <c r="D121" i="16"/>
  <c r="C121" i="16"/>
  <c r="A121" i="16"/>
  <c r="E120" i="16"/>
  <c r="D120" i="16"/>
  <c r="C120" i="16"/>
  <c r="A120" i="16"/>
  <c r="E119" i="16"/>
  <c r="D119" i="16"/>
  <c r="C119" i="16"/>
  <c r="A119" i="16"/>
  <c r="E118" i="16"/>
  <c r="D118" i="16"/>
  <c r="C118" i="16"/>
  <c r="A118" i="16"/>
  <c r="E117" i="16"/>
  <c r="D117" i="16"/>
  <c r="C117" i="16"/>
  <c r="A117" i="16"/>
  <c r="E116" i="16"/>
  <c r="D116" i="16"/>
  <c r="C116" i="16"/>
  <c r="A116" i="16"/>
  <c r="E115" i="16"/>
  <c r="D115" i="16"/>
  <c r="C115" i="16"/>
  <c r="A115" i="16"/>
  <c r="E114" i="16"/>
  <c r="D114" i="16"/>
  <c r="C114" i="16"/>
  <c r="A114" i="16"/>
  <c r="E113" i="16"/>
  <c r="D113" i="16"/>
  <c r="C113" i="16"/>
  <c r="A113" i="16"/>
  <c r="E112" i="16"/>
  <c r="D112" i="16"/>
  <c r="C112" i="16"/>
  <c r="A112" i="16"/>
  <c r="E111" i="16"/>
  <c r="D111" i="16"/>
  <c r="C111" i="16"/>
  <c r="A111" i="16"/>
  <c r="E110" i="16"/>
  <c r="D110" i="16"/>
  <c r="C110" i="16"/>
  <c r="A110" i="16"/>
  <c r="E109" i="16"/>
  <c r="D109" i="16"/>
  <c r="C109" i="16"/>
  <c r="A109" i="16"/>
  <c r="E108" i="16"/>
  <c r="D108" i="16"/>
  <c r="C108" i="16"/>
  <c r="A108" i="16"/>
  <c r="E107" i="16"/>
  <c r="D107" i="16"/>
  <c r="C107" i="16"/>
  <c r="A107" i="16"/>
  <c r="E106" i="16"/>
  <c r="D106" i="16"/>
  <c r="C106" i="16"/>
  <c r="A106" i="16"/>
  <c r="E105" i="16"/>
  <c r="D105" i="16"/>
  <c r="C105" i="16"/>
  <c r="A105" i="16"/>
  <c r="E104" i="16"/>
  <c r="D104" i="16"/>
  <c r="C104" i="16"/>
  <c r="A104" i="16"/>
  <c r="E103" i="16"/>
  <c r="D103" i="16"/>
  <c r="C103" i="16"/>
  <c r="A103" i="16"/>
  <c r="E102" i="16"/>
  <c r="D102" i="16"/>
  <c r="C102" i="16"/>
  <c r="A102" i="16"/>
  <c r="E101" i="16"/>
  <c r="D101" i="16"/>
  <c r="C101" i="16"/>
  <c r="A101" i="16"/>
  <c r="E100" i="16"/>
  <c r="D100" i="16"/>
  <c r="C100" i="16"/>
  <c r="A100" i="16"/>
  <c r="E99" i="16"/>
  <c r="D99" i="16"/>
  <c r="C99" i="16"/>
  <c r="A99" i="16"/>
  <c r="E98" i="16"/>
  <c r="D98" i="16"/>
  <c r="C98" i="16"/>
  <c r="A98" i="16"/>
  <c r="E97" i="16"/>
  <c r="D97" i="16"/>
  <c r="C97" i="16"/>
  <c r="A97" i="16"/>
  <c r="E96" i="16"/>
  <c r="D96" i="16"/>
  <c r="C96" i="16"/>
  <c r="A96" i="16"/>
  <c r="E95" i="16"/>
  <c r="D95" i="16"/>
  <c r="C95" i="16"/>
  <c r="A95" i="16"/>
  <c r="E94" i="16"/>
  <c r="D94" i="16"/>
  <c r="C94" i="16"/>
  <c r="A94" i="16"/>
  <c r="E93" i="16"/>
  <c r="D93" i="16"/>
  <c r="C93" i="16"/>
  <c r="A93" i="16"/>
  <c r="E92" i="16"/>
  <c r="D92" i="16"/>
  <c r="C92" i="16"/>
  <c r="A92" i="16"/>
  <c r="E91" i="16"/>
  <c r="D91" i="16"/>
  <c r="C91" i="16"/>
  <c r="A91" i="16"/>
  <c r="E90" i="16"/>
  <c r="D90" i="16"/>
  <c r="C90" i="16"/>
  <c r="A90" i="16"/>
  <c r="E89" i="16"/>
  <c r="D89" i="16"/>
  <c r="C89" i="16"/>
  <c r="A89" i="16"/>
  <c r="E88" i="16"/>
  <c r="D88" i="16"/>
  <c r="C88" i="16"/>
  <c r="A88" i="16"/>
  <c r="E87" i="16"/>
  <c r="D87" i="16"/>
  <c r="C87" i="16"/>
  <c r="A87" i="16"/>
  <c r="E86" i="16"/>
  <c r="D86" i="16"/>
  <c r="C86" i="16"/>
  <c r="A86" i="16"/>
  <c r="E85" i="16"/>
  <c r="D85" i="16"/>
  <c r="C85" i="16"/>
  <c r="A85" i="16"/>
  <c r="E84" i="16"/>
  <c r="D84" i="16"/>
  <c r="C84" i="16"/>
  <c r="A84" i="16"/>
  <c r="E83" i="16"/>
  <c r="D83" i="16"/>
  <c r="C83" i="16"/>
  <c r="A83" i="16"/>
  <c r="E82" i="16"/>
  <c r="D82" i="16"/>
  <c r="C82" i="16"/>
  <c r="A82" i="16"/>
  <c r="E81" i="16"/>
  <c r="D81" i="16"/>
  <c r="C81" i="16"/>
  <c r="A81" i="16"/>
  <c r="E80" i="16"/>
  <c r="D80" i="16"/>
  <c r="C80" i="16"/>
  <c r="A80" i="16"/>
  <c r="E79" i="16"/>
  <c r="D79" i="16"/>
  <c r="C79" i="16"/>
  <c r="A79" i="16"/>
  <c r="E78" i="16"/>
  <c r="D78" i="16"/>
  <c r="C78" i="16"/>
  <c r="A78" i="16"/>
  <c r="E77" i="16"/>
  <c r="D77" i="16"/>
  <c r="C77" i="16"/>
  <c r="A77" i="16"/>
  <c r="E76" i="16"/>
  <c r="D76" i="16"/>
  <c r="C76" i="16"/>
  <c r="A76" i="16"/>
  <c r="E75" i="16"/>
  <c r="D75" i="16"/>
  <c r="C75" i="16"/>
  <c r="A75" i="16"/>
  <c r="E74" i="16"/>
  <c r="D74" i="16"/>
  <c r="C74" i="16"/>
  <c r="A74" i="16"/>
  <c r="E73" i="16"/>
  <c r="D73" i="16"/>
  <c r="C73" i="16"/>
  <c r="A73" i="16"/>
  <c r="E72" i="16"/>
  <c r="D72" i="16"/>
  <c r="C72" i="16"/>
  <c r="A72" i="16"/>
  <c r="E71" i="16"/>
  <c r="D71" i="16"/>
  <c r="C71" i="16"/>
  <c r="A71" i="16"/>
  <c r="E70" i="16"/>
  <c r="D70" i="16"/>
  <c r="C70" i="16"/>
  <c r="A70" i="16"/>
  <c r="E69" i="16"/>
  <c r="D69" i="16"/>
  <c r="C69" i="16"/>
  <c r="A69" i="16"/>
  <c r="E68" i="16"/>
  <c r="D68" i="16"/>
  <c r="C68" i="16"/>
  <c r="A68" i="16"/>
  <c r="E67" i="16"/>
  <c r="D67" i="16"/>
  <c r="C67" i="16"/>
  <c r="A67" i="16"/>
  <c r="E66" i="16"/>
  <c r="D66" i="16"/>
  <c r="C66" i="16"/>
  <c r="B66" i="16"/>
  <c r="A66" i="16"/>
  <c r="A65" i="16"/>
  <c r="A64" i="16"/>
  <c r="A161" i="15"/>
  <c r="A160" i="15"/>
  <c r="A159" i="15"/>
  <c r="A158" i="15"/>
  <c r="A157" i="15"/>
  <c r="A156" i="15"/>
  <c r="A155" i="15"/>
  <c r="A154" i="15"/>
  <c r="A153" i="15"/>
  <c r="A152" i="15"/>
  <c r="A151" i="15"/>
  <c r="A150" i="15"/>
  <c r="A149" i="15"/>
  <c r="A148" i="15"/>
  <c r="A147" i="15"/>
  <c r="A146" i="15"/>
  <c r="A145" i="15"/>
  <c r="A144" i="15"/>
  <c r="A143" i="15"/>
  <c r="A142" i="15"/>
  <c r="A141" i="15"/>
  <c r="A140" i="15"/>
  <c r="A139" i="15"/>
  <c r="A138" i="15"/>
  <c r="A137" i="15"/>
  <c r="A136" i="15"/>
  <c r="A135" i="15"/>
  <c r="A134" i="15"/>
  <c r="A133" i="15"/>
  <c r="A132" i="15"/>
  <c r="A131" i="15"/>
  <c r="A130" i="15"/>
  <c r="A129" i="15"/>
  <c r="A128" i="15"/>
  <c r="A127" i="15"/>
  <c r="A126" i="15"/>
  <c r="A125" i="15"/>
  <c r="A124" i="15"/>
  <c r="A123" i="15"/>
  <c r="A122" i="15"/>
  <c r="E121" i="15"/>
  <c r="D121" i="15"/>
  <c r="C121" i="15"/>
  <c r="A121" i="15"/>
  <c r="E120" i="15"/>
  <c r="D120" i="15"/>
  <c r="C120" i="15"/>
  <c r="A120" i="15"/>
  <c r="E119" i="15"/>
  <c r="D119" i="15"/>
  <c r="C119" i="15"/>
  <c r="A119" i="15"/>
  <c r="E118" i="15"/>
  <c r="D118" i="15"/>
  <c r="C118" i="15"/>
  <c r="A118" i="15"/>
  <c r="E117" i="15"/>
  <c r="D117" i="15"/>
  <c r="C117" i="15"/>
  <c r="A117" i="15"/>
  <c r="E116" i="15"/>
  <c r="D116" i="15"/>
  <c r="C116" i="15"/>
  <c r="A116" i="15"/>
  <c r="E115" i="15"/>
  <c r="D115" i="15"/>
  <c r="C115" i="15"/>
  <c r="A115" i="15"/>
  <c r="E114" i="15"/>
  <c r="D114" i="15"/>
  <c r="C114" i="15"/>
  <c r="A114" i="15"/>
  <c r="E113" i="15"/>
  <c r="D113" i="15"/>
  <c r="C113" i="15"/>
  <c r="A113" i="15"/>
  <c r="E112" i="15"/>
  <c r="D112" i="15"/>
  <c r="C112" i="15"/>
  <c r="A112" i="15"/>
  <c r="E111" i="15"/>
  <c r="D111" i="15"/>
  <c r="C111" i="15"/>
  <c r="A111" i="15"/>
  <c r="E110" i="15"/>
  <c r="D110" i="15"/>
  <c r="C110" i="15"/>
  <c r="A110" i="15"/>
  <c r="E109" i="15"/>
  <c r="D109" i="15"/>
  <c r="C109" i="15"/>
  <c r="A109" i="15"/>
  <c r="E108" i="15"/>
  <c r="D108" i="15"/>
  <c r="C108" i="15"/>
  <c r="A108" i="15"/>
  <c r="E107" i="15"/>
  <c r="D107" i="15"/>
  <c r="C107" i="15"/>
  <c r="A107" i="15"/>
  <c r="E106" i="15"/>
  <c r="D106" i="15"/>
  <c r="C106" i="15"/>
  <c r="A106" i="15"/>
  <c r="E105" i="15"/>
  <c r="D105" i="15"/>
  <c r="C105" i="15"/>
  <c r="A105" i="15"/>
  <c r="E104" i="15"/>
  <c r="D104" i="15"/>
  <c r="C104" i="15"/>
  <c r="A104" i="15"/>
  <c r="E103" i="15"/>
  <c r="D103" i="15"/>
  <c r="C103" i="15"/>
  <c r="A103" i="15"/>
  <c r="E102" i="15"/>
  <c r="D102" i="15"/>
  <c r="C102" i="15"/>
  <c r="A102" i="15"/>
  <c r="E101" i="15"/>
  <c r="D101" i="15"/>
  <c r="C101" i="15"/>
  <c r="A101" i="15"/>
  <c r="E100" i="15"/>
  <c r="D100" i="15"/>
  <c r="C100" i="15"/>
  <c r="A100" i="15"/>
  <c r="E99" i="15"/>
  <c r="D99" i="15"/>
  <c r="C99" i="15"/>
  <c r="A99" i="15"/>
  <c r="E98" i="15"/>
  <c r="D98" i="15"/>
  <c r="C98" i="15"/>
  <c r="A98" i="15"/>
  <c r="E97" i="15"/>
  <c r="D97" i="15"/>
  <c r="C97" i="15"/>
  <c r="A97" i="15"/>
  <c r="E96" i="15"/>
  <c r="D96" i="15"/>
  <c r="C96" i="15"/>
  <c r="A96" i="15"/>
  <c r="E95" i="15"/>
  <c r="D95" i="15"/>
  <c r="C95" i="15"/>
  <c r="A95" i="15"/>
  <c r="E94" i="15"/>
  <c r="D94" i="15"/>
  <c r="C94" i="15"/>
  <c r="A94" i="15"/>
  <c r="E93" i="15"/>
  <c r="D93" i="15"/>
  <c r="C93" i="15"/>
  <c r="A93" i="15"/>
  <c r="E92" i="15"/>
  <c r="D92" i="15"/>
  <c r="C92" i="15"/>
  <c r="A92" i="15"/>
  <c r="E91" i="15"/>
  <c r="D91" i="15"/>
  <c r="C91" i="15"/>
  <c r="A91" i="15"/>
  <c r="E90" i="15"/>
  <c r="D90" i="15"/>
  <c r="C90" i="15"/>
  <c r="A90" i="15"/>
  <c r="E89" i="15"/>
  <c r="D89" i="15"/>
  <c r="C89" i="15"/>
  <c r="A89" i="15"/>
  <c r="E88" i="15"/>
  <c r="D88" i="15"/>
  <c r="C88" i="15"/>
  <c r="A88" i="15"/>
  <c r="E87" i="15"/>
  <c r="D87" i="15"/>
  <c r="C87" i="15"/>
  <c r="A87" i="15"/>
  <c r="E86" i="15"/>
  <c r="D86" i="15"/>
  <c r="C86" i="15"/>
  <c r="A86" i="15"/>
  <c r="E85" i="15"/>
  <c r="D85" i="15"/>
  <c r="C85" i="15"/>
  <c r="A85" i="15"/>
  <c r="E84" i="15"/>
  <c r="D84" i="15"/>
  <c r="C84" i="15"/>
  <c r="A84" i="15"/>
  <c r="E83" i="15"/>
  <c r="D83" i="15"/>
  <c r="C83" i="15"/>
  <c r="A83" i="15"/>
  <c r="E82" i="15"/>
  <c r="D82" i="15"/>
  <c r="C82" i="15"/>
  <c r="A82" i="15"/>
  <c r="E81" i="15"/>
  <c r="D81" i="15"/>
  <c r="C81" i="15"/>
  <c r="A81" i="15"/>
  <c r="E80" i="15"/>
  <c r="D80" i="15"/>
  <c r="C80" i="15"/>
  <c r="A80" i="15"/>
  <c r="E79" i="15"/>
  <c r="D79" i="15"/>
  <c r="C79" i="15"/>
  <c r="A79" i="15"/>
  <c r="E78" i="15"/>
  <c r="D78" i="15"/>
  <c r="C78" i="15"/>
  <c r="A78" i="15"/>
  <c r="E77" i="15"/>
  <c r="D77" i="15"/>
  <c r="C77" i="15"/>
  <c r="A77" i="15"/>
  <c r="E76" i="15"/>
  <c r="D76" i="15"/>
  <c r="C76" i="15"/>
  <c r="A76" i="15"/>
  <c r="E75" i="15"/>
  <c r="D75" i="15"/>
  <c r="C75" i="15"/>
  <c r="A75" i="15"/>
  <c r="E74" i="15"/>
  <c r="D74" i="15"/>
  <c r="C74" i="15"/>
  <c r="A74" i="15"/>
  <c r="E73" i="15"/>
  <c r="D73" i="15"/>
  <c r="C73" i="15"/>
  <c r="A73" i="15"/>
  <c r="E72" i="15"/>
  <c r="D72" i="15"/>
  <c r="C72" i="15"/>
  <c r="A72" i="15"/>
  <c r="E71" i="15"/>
  <c r="D71" i="15"/>
  <c r="C71" i="15"/>
  <c r="A71" i="15"/>
  <c r="E70" i="15"/>
  <c r="D70" i="15"/>
  <c r="C70" i="15"/>
  <c r="A70" i="15"/>
  <c r="E69" i="15"/>
  <c r="D69" i="15"/>
  <c r="C69" i="15"/>
  <c r="A69" i="15"/>
  <c r="E68" i="15"/>
  <c r="D68" i="15"/>
  <c r="C68" i="15"/>
  <c r="A68" i="15"/>
  <c r="E67" i="15"/>
  <c r="D67" i="15"/>
  <c r="C67" i="15"/>
  <c r="A67" i="15"/>
  <c r="E66" i="15"/>
  <c r="D66" i="15"/>
  <c r="C66" i="15"/>
  <c r="B66" i="15"/>
  <c r="A66" i="15"/>
  <c r="A65" i="15"/>
  <c r="A64" i="15"/>
  <c r="A161" i="13"/>
  <c r="A160" i="13"/>
  <c r="A159" i="13"/>
  <c r="A158" i="13"/>
  <c r="A157" i="13"/>
  <c r="A156" i="13"/>
  <c r="A155" i="13"/>
  <c r="A154" i="13"/>
  <c r="A153" i="13"/>
  <c r="A152" i="13"/>
  <c r="A151" i="13"/>
  <c r="A150" i="13"/>
  <c r="A149" i="13"/>
  <c r="A148" i="13"/>
  <c r="A147" i="13"/>
  <c r="A146" i="13"/>
  <c r="A145" i="13"/>
  <c r="A144" i="13"/>
  <c r="A143" i="13"/>
  <c r="A142" i="13"/>
  <c r="A141" i="13"/>
  <c r="A140" i="13"/>
  <c r="A139" i="13"/>
  <c r="A138" i="13"/>
  <c r="A137" i="13"/>
  <c r="A136" i="13"/>
  <c r="A135" i="13"/>
  <c r="A134" i="13"/>
  <c r="A133" i="13"/>
  <c r="A132" i="13"/>
  <c r="A131" i="13"/>
  <c r="A130" i="13"/>
  <c r="A129" i="13"/>
  <c r="A128" i="13"/>
  <c r="A127" i="13"/>
  <c r="A126" i="13"/>
  <c r="A125" i="13"/>
  <c r="A124" i="13"/>
  <c r="A123" i="13"/>
  <c r="A122" i="13"/>
  <c r="E121" i="13"/>
  <c r="D121" i="13"/>
  <c r="C121" i="13"/>
  <c r="A121" i="13"/>
  <c r="E120" i="13"/>
  <c r="D120" i="13"/>
  <c r="C120" i="13"/>
  <c r="A120" i="13"/>
  <c r="E119" i="13"/>
  <c r="D119" i="13"/>
  <c r="C119" i="13"/>
  <c r="A119" i="13"/>
  <c r="E118" i="13"/>
  <c r="D118" i="13"/>
  <c r="C118" i="13"/>
  <c r="A118" i="13"/>
  <c r="E117" i="13"/>
  <c r="D117" i="13"/>
  <c r="C117" i="13"/>
  <c r="A117" i="13"/>
  <c r="E116" i="13"/>
  <c r="D116" i="13"/>
  <c r="C116" i="13"/>
  <c r="A116" i="13"/>
  <c r="E115" i="13"/>
  <c r="D115" i="13"/>
  <c r="C115" i="13"/>
  <c r="A115" i="13"/>
  <c r="E114" i="13"/>
  <c r="D114" i="13"/>
  <c r="C114" i="13"/>
  <c r="A114" i="13"/>
  <c r="E113" i="13"/>
  <c r="D113" i="13"/>
  <c r="C113" i="13"/>
  <c r="A113" i="13"/>
  <c r="E112" i="13"/>
  <c r="D112" i="13"/>
  <c r="C112" i="13"/>
  <c r="A112" i="13"/>
  <c r="E111" i="13"/>
  <c r="D111" i="13"/>
  <c r="C111" i="13"/>
  <c r="A111" i="13"/>
  <c r="E110" i="13"/>
  <c r="D110" i="13"/>
  <c r="C110" i="13"/>
  <c r="A110" i="13"/>
  <c r="E109" i="13"/>
  <c r="D109" i="13"/>
  <c r="C109" i="13"/>
  <c r="A109" i="13"/>
  <c r="E108" i="13"/>
  <c r="D108" i="13"/>
  <c r="C108" i="13"/>
  <c r="A108" i="13"/>
  <c r="E107" i="13"/>
  <c r="D107" i="13"/>
  <c r="C107" i="13"/>
  <c r="A107" i="13"/>
  <c r="E106" i="13"/>
  <c r="D106" i="13"/>
  <c r="C106" i="13"/>
  <c r="A106" i="13"/>
  <c r="E105" i="13"/>
  <c r="D105" i="13"/>
  <c r="C105" i="13"/>
  <c r="A105" i="13"/>
  <c r="E104" i="13"/>
  <c r="D104" i="13"/>
  <c r="C104" i="13"/>
  <c r="A104" i="13"/>
  <c r="E103" i="13"/>
  <c r="D103" i="13"/>
  <c r="C103" i="13"/>
  <c r="A103" i="13"/>
  <c r="E102" i="13"/>
  <c r="D102" i="13"/>
  <c r="C102" i="13"/>
  <c r="A102" i="13"/>
  <c r="E101" i="13"/>
  <c r="D101" i="13"/>
  <c r="C101" i="13"/>
  <c r="A101" i="13"/>
  <c r="E100" i="13"/>
  <c r="D100" i="13"/>
  <c r="C100" i="13"/>
  <c r="A100" i="13"/>
  <c r="E99" i="13"/>
  <c r="D99" i="13"/>
  <c r="C99" i="13"/>
  <c r="A99" i="13"/>
  <c r="E98" i="13"/>
  <c r="D98" i="13"/>
  <c r="C98" i="13"/>
  <c r="A98" i="13"/>
  <c r="E97" i="13"/>
  <c r="D97" i="13"/>
  <c r="C97" i="13"/>
  <c r="A97" i="13"/>
  <c r="E96" i="13"/>
  <c r="D96" i="13"/>
  <c r="C96" i="13"/>
  <c r="A96" i="13"/>
  <c r="E95" i="13"/>
  <c r="D95" i="13"/>
  <c r="C95" i="13"/>
  <c r="A95" i="13"/>
  <c r="E94" i="13"/>
  <c r="D94" i="13"/>
  <c r="C94" i="13"/>
  <c r="A94" i="13"/>
  <c r="E93" i="13"/>
  <c r="D93" i="13"/>
  <c r="C93" i="13"/>
  <c r="A93" i="13"/>
  <c r="E92" i="13"/>
  <c r="D92" i="13"/>
  <c r="C92" i="13"/>
  <c r="A92" i="13"/>
  <c r="E91" i="13"/>
  <c r="D91" i="13"/>
  <c r="C91" i="13"/>
  <c r="A91" i="13"/>
  <c r="E90" i="13"/>
  <c r="D90" i="13"/>
  <c r="C90" i="13"/>
  <c r="A90" i="13"/>
  <c r="E89" i="13"/>
  <c r="D89" i="13"/>
  <c r="C89" i="13"/>
  <c r="A89" i="13"/>
  <c r="E88" i="13"/>
  <c r="D88" i="13"/>
  <c r="C88" i="13"/>
  <c r="A88" i="13"/>
  <c r="E87" i="13"/>
  <c r="D87" i="13"/>
  <c r="C87" i="13"/>
  <c r="A87" i="13"/>
  <c r="E86" i="13"/>
  <c r="D86" i="13"/>
  <c r="C86" i="13"/>
  <c r="A86" i="13"/>
  <c r="E85" i="13"/>
  <c r="D85" i="13"/>
  <c r="C85" i="13"/>
  <c r="A85" i="13"/>
  <c r="E84" i="13"/>
  <c r="D84" i="13"/>
  <c r="C84" i="13"/>
  <c r="A84" i="13"/>
  <c r="E83" i="13"/>
  <c r="D83" i="13"/>
  <c r="C83" i="13"/>
  <c r="A83" i="13"/>
  <c r="E82" i="13"/>
  <c r="D82" i="13"/>
  <c r="C82" i="13"/>
  <c r="A82" i="13"/>
  <c r="E81" i="13"/>
  <c r="D81" i="13"/>
  <c r="C81" i="13"/>
  <c r="A81" i="13"/>
  <c r="E80" i="13"/>
  <c r="D80" i="13"/>
  <c r="C80" i="13"/>
  <c r="A80" i="13"/>
  <c r="E79" i="13"/>
  <c r="D79" i="13"/>
  <c r="C79" i="13"/>
  <c r="A79" i="13"/>
  <c r="E78" i="13"/>
  <c r="D78" i="13"/>
  <c r="C78" i="13"/>
  <c r="A78" i="13"/>
  <c r="E77" i="13"/>
  <c r="D77" i="13"/>
  <c r="C77" i="13"/>
  <c r="A77" i="13"/>
  <c r="E76" i="13"/>
  <c r="D76" i="13"/>
  <c r="C76" i="13"/>
  <c r="A76" i="13"/>
  <c r="E75" i="13"/>
  <c r="D75" i="13"/>
  <c r="C75" i="13"/>
  <c r="A75" i="13"/>
  <c r="E74" i="13"/>
  <c r="D74" i="13"/>
  <c r="C74" i="13"/>
  <c r="A74" i="13"/>
  <c r="E73" i="13"/>
  <c r="D73" i="13"/>
  <c r="C73" i="13"/>
  <c r="A73" i="13"/>
  <c r="E72" i="13"/>
  <c r="D72" i="13"/>
  <c r="C72" i="13"/>
  <c r="A72" i="13"/>
  <c r="E71" i="13"/>
  <c r="D71" i="13"/>
  <c r="C71" i="13"/>
  <c r="A71" i="13"/>
  <c r="E70" i="13"/>
  <c r="D70" i="13"/>
  <c r="C70" i="13"/>
  <c r="A70" i="13"/>
  <c r="E69" i="13"/>
  <c r="D69" i="13"/>
  <c r="C69" i="13"/>
  <c r="A69" i="13"/>
  <c r="E68" i="13"/>
  <c r="D68" i="13"/>
  <c r="C68" i="13"/>
  <c r="A68" i="13"/>
  <c r="E67" i="13"/>
  <c r="D67" i="13"/>
  <c r="C67" i="13"/>
  <c r="A67" i="13"/>
  <c r="E66" i="13"/>
  <c r="D66" i="13"/>
  <c r="C66" i="13"/>
  <c r="B66" i="13"/>
  <c r="A66" i="13"/>
  <c r="A65" i="13"/>
  <c r="A64" i="13"/>
  <c r="A123" i="14"/>
  <c r="A122" i="14"/>
  <c r="E121" i="14"/>
  <c r="D121" i="14"/>
  <c r="C121" i="14"/>
  <c r="A121" i="14"/>
  <c r="E120" i="14"/>
  <c r="D120" i="14"/>
  <c r="C120" i="14"/>
  <c r="A120" i="14"/>
  <c r="E119" i="14"/>
  <c r="D119" i="14"/>
  <c r="C119" i="14"/>
  <c r="A119" i="14"/>
  <c r="E118" i="14"/>
  <c r="D118" i="14"/>
  <c r="C118" i="14"/>
  <c r="A118" i="14"/>
  <c r="E117" i="14"/>
  <c r="D117" i="14"/>
  <c r="C117" i="14"/>
  <c r="A117" i="14"/>
  <c r="E116" i="14"/>
  <c r="D116" i="14"/>
  <c r="C116" i="14"/>
  <c r="A116" i="14"/>
  <c r="E115" i="14"/>
  <c r="D115" i="14"/>
  <c r="C115" i="14"/>
  <c r="A115" i="14"/>
  <c r="E114" i="14"/>
  <c r="D114" i="14"/>
  <c r="C114" i="14"/>
  <c r="A114" i="14"/>
  <c r="E113" i="14"/>
  <c r="D113" i="14"/>
  <c r="C113" i="14"/>
  <c r="A113" i="14"/>
  <c r="E112" i="14"/>
  <c r="D112" i="14"/>
  <c r="C112" i="14"/>
  <c r="A112" i="14"/>
  <c r="E111" i="14"/>
  <c r="D111" i="14"/>
  <c r="C111" i="14"/>
  <c r="A111" i="14"/>
  <c r="E110" i="14"/>
  <c r="D110" i="14"/>
  <c r="C110" i="14"/>
  <c r="A110" i="14"/>
  <c r="E109" i="14"/>
  <c r="D109" i="14"/>
  <c r="C109" i="14"/>
  <c r="A109" i="14"/>
  <c r="E108" i="14"/>
  <c r="D108" i="14"/>
  <c r="C108" i="14"/>
  <c r="A108" i="14"/>
  <c r="E107" i="14"/>
  <c r="D107" i="14"/>
  <c r="C107" i="14"/>
  <c r="A107" i="14"/>
  <c r="E106" i="14"/>
  <c r="D106" i="14"/>
  <c r="C106" i="14"/>
  <c r="A106" i="14"/>
  <c r="E105" i="14"/>
  <c r="D105" i="14"/>
  <c r="C105" i="14"/>
  <c r="A105" i="14"/>
  <c r="E104" i="14"/>
  <c r="D104" i="14"/>
  <c r="C104" i="14"/>
  <c r="A104" i="14"/>
  <c r="E103" i="14"/>
  <c r="D103" i="14"/>
  <c r="C103" i="14"/>
  <c r="A103" i="14"/>
  <c r="E102" i="14"/>
  <c r="D102" i="14"/>
  <c r="C102" i="14"/>
  <c r="A102" i="14"/>
  <c r="E101" i="14"/>
  <c r="D101" i="14"/>
  <c r="C101" i="14"/>
  <c r="A101" i="14"/>
  <c r="E100" i="14"/>
  <c r="D100" i="14"/>
  <c r="C100" i="14"/>
  <c r="A100" i="14"/>
  <c r="E99" i="14"/>
  <c r="D99" i="14"/>
  <c r="C99" i="14"/>
  <c r="A99" i="14"/>
  <c r="E98" i="14"/>
  <c r="D98" i="14"/>
  <c r="C98" i="14"/>
  <c r="A98" i="14"/>
  <c r="E97" i="14"/>
  <c r="D97" i="14"/>
  <c r="C97" i="14"/>
  <c r="A97" i="14"/>
  <c r="E96" i="14"/>
  <c r="D96" i="14"/>
  <c r="C96" i="14"/>
  <c r="A96" i="14"/>
  <c r="E95" i="14"/>
  <c r="D95" i="14"/>
  <c r="C95" i="14"/>
  <c r="A95" i="14"/>
  <c r="E94" i="14"/>
  <c r="D94" i="14"/>
  <c r="C94" i="14"/>
  <c r="A94" i="14"/>
  <c r="E93" i="14"/>
  <c r="D93" i="14"/>
  <c r="C93" i="14"/>
  <c r="A93" i="14"/>
  <c r="E92" i="14"/>
  <c r="D92" i="14"/>
  <c r="C92" i="14"/>
  <c r="A92" i="14"/>
  <c r="E91" i="14"/>
  <c r="D91" i="14"/>
  <c r="C91" i="14"/>
  <c r="A91" i="14"/>
  <c r="E90" i="14"/>
  <c r="D90" i="14"/>
  <c r="C90" i="14"/>
  <c r="A90" i="14"/>
  <c r="E89" i="14"/>
  <c r="D89" i="14"/>
  <c r="C89" i="14"/>
  <c r="A89" i="14"/>
  <c r="E88" i="14"/>
  <c r="D88" i="14"/>
  <c r="C88" i="14"/>
  <c r="A88" i="14"/>
  <c r="E87" i="14"/>
  <c r="D87" i="14"/>
  <c r="C87" i="14"/>
  <c r="A87" i="14"/>
  <c r="E86" i="14"/>
  <c r="D86" i="14"/>
  <c r="C86" i="14"/>
  <c r="A86" i="14"/>
  <c r="E85" i="14"/>
  <c r="D85" i="14"/>
  <c r="C85" i="14"/>
  <c r="A85" i="14"/>
  <c r="E84" i="14"/>
  <c r="D84" i="14"/>
  <c r="C84" i="14"/>
  <c r="A84" i="14"/>
  <c r="E83" i="14"/>
  <c r="D83" i="14"/>
  <c r="C83" i="14"/>
  <c r="A83" i="14"/>
  <c r="E82" i="14"/>
  <c r="D82" i="14"/>
  <c r="C82" i="14"/>
  <c r="A82" i="14"/>
  <c r="E81" i="14"/>
  <c r="D81" i="14"/>
  <c r="C81" i="14"/>
  <c r="A81" i="14"/>
  <c r="E80" i="14"/>
  <c r="D80" i="14"/>
  <c r="C80" i="14"/>
  <c r="A80" i="14"/>
  <c r="E79" i="14"/>
  <c r="D79" i="14"/>
  <c r="C79" i="14"/>
  <c r="A79" i="14"/>
  <c r="E78" i="14"/>
  <c r="D78" i="14"/>
  <c r="C78" i="14"/>
  <c r="A78" i="14"/>
  <c r="E77" i="14"/>
  <c r="D77" i="14"/>
  <c r="C77" i="14"/>
  <c r="A77" i="14"/>
  <c r="E76" i="14"/>
  <c r="D76" i="14"/>
  <c r="C76" i="14"/>
  <c r="A76" i="14"/>
  <c r="E75" i="14"/>
  <c r="D75" i="14"/>
  <c r="C75" i="14"/>
  <c r="A75" i="14"/>
  <c r="E74" i="14"/>
  <c r="D74" i="14"/>
  <c r="C74" i="14"/>
  <c r="A74" i="14"/>
  <c r="E73" i="14"/>
  <c r="D73" i="14"/>
  <c r="C73" i="14"/>
  <c r="A73" i="14"/>
  <c r="E72" i="14"/>
  <c r="D72" i="14"/>
  <c r="C72" i="14"/>
  <c r="A72" i="14"/>
  <c r="E71" i="14"/>
  <c r="D71" i="14"/>
  <c r="C71" i="14"/>
  <c r="A71" i="14"/>
  <c r="E70" i="14"/>
  <c r="D70" i="14"/>
  <c r="C70" i="14"/>
  <c r="A70" i="14"/>
  <c r="E69" i="14"/>
  <c r="D69" i="14"/>
  <c r="C69" i="14"/>
  <c r="A69" i="14"/>
  <c r="E68" i="14"/>
  <c r="D68" i="14"/>
  <c r="C68" i="14"/>
  <c r="A68" i="14"/>
  <c r="E67" i="14"/>
  <c r="D67" i="14"/>
  <c r="C67" i="14"/>
  <c r="A67" i="14"/>
  <c r="E66" i="14"/>
  <c r="D66" i="14"/>
  <c r="C66" i="14"/>
  <c r="B66" i="14"/>
  <c r="A66" i="14"/>
  <c r="A65" i="14"/>
  <c r="A64" i="14"/>
  <c r="A161" i="12"/>
  <c r="A160" i="12"/>
  <c r="A159" i="12"/>
  <c r="A158" i="12"/>
  <c r="A157" i="12"/>
  <c r="A156" i="12"/>
  <c r="A155" i="12"/>
  <c r="A154" i="12"/>
  <c r="A153" i="12"/>
  <c r="A152" i="12"/>
  <c r="A151" i="12"/>
  <c r="A150" i="12"/>
  <c r="A149" i="12"/>
  <c r="A148" i="12"/>
  <c r="A147" i="12"/>
  <c r="A146" i="12"/>
  <c r="A145" i="12"/>
  <c r="A144" i="12"/>
  <c r="A143" i="12"/>
  <c r="A142" i="12"/>
  <c r="A141" i="12"/>
  <c r="A140" i="12"/>
  <c r="A139" i="12"/>
  <c r="A138" i="12"/>
  <c r="A137" i="12"/>
  <c r="A136" i="12"/>
  <c r="A135" i="12"/>
  <c r="A134" i="12"/>
  <c r="A133" i="12"/>
  <c r="A132" i="12"/>
  <c r="A131" i="12"/>
  <c r="A130" i="12"/>
  <c r="A129" i="12"/>
  <c r="A128" i="12"/>
  <c r="A127" i="12"/>
  <c r="A126" i="12"/>
  <c r="A125" i="12"/>
  <c r="A124" i="12"/>
  <c r="A123" i="12"/>
  <c r="A122" i="12"/>
  <c r="E121" i="12"/>
  <c r="D121" i="12"/>
  <c r="C121" i="12"/>
  <c r="A121" i="12"/>
  <c r="E120" i="12"/>
  <c r="D120" i="12"/>
  <c r="C120" i="12"/>
  <c r="A120" i="12"/>
  <c r="E119" i="12"/>
  <c r="D119" i="12"/>
  <c r="C119" i="12"/>
  <c r="A119" i="12"/>
  <c r="E118" i="12"/>
  <c r="D118" i="12"/>
  <c r="C118" i="12"/>
  <c r="A118" i="12"/>
  <c r="E117" i="12"/>
  <c r="D117" i="12"/>
  <c r="C117" i="12"/>
  <c r="A117" i="12"/>
  <c r="E116" i="12"/>
  <c r="D116" i="12"/>
  <c r="C116" i="12"/>
  <c r="A116" i="12"/>
  <c r="E115" i="12"/>
  <c r="D115" i="12"/>
  <c r="C115" i="12"/>
  <c r="A115" i="12"/>
  <c r="E114" i="12"/>
  <c r="D114" i="12"/>
  <c r="C114" i="12"/>
  <c r="A114" i="12"/>
  <c r="E113" i="12"/>
  <c r="D113" i="12"/>
  <c r="C113" i="12"/>
  <c r="A113" i="12"/>
  <c r="E112" i="12"/>
  <c r="D112" i="12"/>
  <c r="C112" i="12"/>
  <c r="A112" i="12"/>
  <c r="E111" i="12"/>
  <c r="D111" i="12"/>
  <c r="C111" i="12"/>
  <c r="A111" i="12"/>
  <c r="E110" i="12"/>
  <c r="D110" i="12"/>
  <c r="C110" i="12"/>
  <c r="A110" i="12"/>
  <c r="E109" i="12"/>
  <c r="D109" i="12"/>
  <c r="C109" i="12"/>
  <c r="A109" i="12"/>
  <c r="E108" i="12"/>
  <c r="D108" i="12"/>
  <c r="C108" i="12"/>
  <c r="A108" i="12"/>
  <c r="E107" i="12"/>
  <c r="D107" i="12"/>
  <c r="C107" i="12"/>
  <c r="A107" i="12"/>
  <c r="E106" i="12"/>
  <c r="D106" i="12"/>
  <c r="C106" i="12"/>
  <c r="A106" i="12"/>
  <c r="E105" i="12"/>
  <c r="D105" i="12"/>
  <c r="C105" i="12"/>
  <c r="A105" i="12"/>
  <c r="E104" i="12"/>
  <c r="D104" i="12"/>
  <c r="C104" i="12"/>
  <c r="A104" i="12"/>
  <c r="E103" i="12"/>
  <c r="D103" i="12"/>
  <c r="C103" i="12"/>
  <c r="A103" i="12"/>
  <c r="E102" i="12"/>
  <c r="D102" i="12"/>
  <c r="C102" i="12"/>
  <c r="A102" i="12"/>
  <c r="E101" i="12"/>
  <c r="D101" i="12"/>
  <c r="C101" i="12"/>
  <c r="A101" i="12"/>
  <c r="E100" i="12"/>
  <c r="D100" i="12"/>
  <c r="C100" i="12"/>
  <c r="A100" i="12"/>
  <c r="E99" i="12"/>
  <c r="D99" i="12"/>
  <c r="C99" i="12"/>
  <c r="A99" i="12"/>
  <c r="E98" i="12"/>
  <c r="D98" i="12"/>
  <c r="C98" i="12"/>
  <c r="A98" i="12"/>
  <c r="E97" i="12"/>
  <c r="D97" i="12"/>
  <c r="C97" i="12"/>
  <c r="A97" i="12"/>
  <c r="E96" i="12"/>
  <c r="D96" i="12"/>
  <c r="C96" i="12"/>
  <c r="A96" i="12"/>
  <c r="E95" i="12"/>
  <c r="D95" i="12"/>
  <c r="C95" i="12"/>
  <c r="A95" i="12"/>
  <c r="E94" i="12"/>
  <c r="D94" i="12"/>
  <c r="C94" i="12"/>
  <c r="A94" i="12"/>
  <c r="E93" i="12"/>
  <c r="D93" i="12"/>
  <c r="C93" i="12"/>
  <c r="A93" i="12"/>
  <c r="E92" i="12"/>
  <c r="D92" i="12"/>
  <c r="C92" i="12"/>
  <c r="A92" i="12"/>
  <c r="E91" i="12"/>
  <c r="D91" i="12"/>
  <c r="C91" i="12"/>
  <c r="A91" i="12"/>
  <c r="E90" i="12"/>
  <c r="D90" i="12"/>
  <c r="C90" i="12"/>
  <c r="A90" i="12"/>
  <c r="E89" i="12"/>
  <c r="D89" i="12"/>
  <c r="C89" i="12"/>
  <c r="A89" i="12"/>
  <c r="E88" i="12"/>
  <c r="D88" i="12"/>
  <c r="C88" i="12"/>
  <c r="A88" i="12"/>
  <c r="E87" i="12"/>
  <c r="D87" i="12"/>
  <c r="C87" i="12"/>
  <c r="A87" i="12"/>
  <c r="E86" i="12"/>
  <c r="D86" i="12"/>
  <c r="C86" i="12"/>
  <c r="A86" i="12"/>
  <c r="E85" i="12"/>
  <c r="D85" i="12"/>
  <c r="C85" i="12"/>
  <c r="A85" i="12"/>
  <c r="E84" i="12"/>
  <c r="D84" i="12"/>
  <c r="C84" i="12"/>
  <c r="A84" i="12"/>
  <c r="E83" i="12"/>
  <c r="D83" i="12"/>
  <c r="C83" i="12"/>
  <c r="A83" i="12"/>
  <c r="E82" i="12"/>
  <c r="D82" i="12"/>
  <c r="C82" i="12"/>
  <c r="A82" i="12"/>
  <c r="E81" i="12"/>
  <c r="D81" i="12"/>
  <c r="C81" i="12"/>
  <c r="A81" i="12"/>
  <c r="E80" i="12"/>
  <c r="D80" i="12"/>
  <c r="C80" i="12"/>
  <c r="A80" i="12"/>
  <c r="E79" i="12"/>
  <c r="D79" i="12"/>
  <c r="C79" i="12"/>
  <c r="A79" i="12"/>
  <c r="E78" i="12"/>
  <c r="D78" i="12"/>
  <c r="C78" i="12"/>
  <c r="A78" i="12"/>
  <c r="E77" i="12"/>
  <c r="D77" i="12"/>
  <c r="C77" i="12"/>
  <c r="A77" i="12"/>
  <c r="E76" i="12"/>
  <c r="D76" i="12"/>
  <c r="C76" i="12"/>
  <c r="A76" i="12"/>
  <c r="E75" i="12"/>
  <c r="D75" i="12"/>
  <c r="C75" i="12"/>
  <c r="A75" i="12"/>
  <c r="E74" i="12"/>
  <c r="D74" i="12"/>
  <c r="C74" i="12"/>
  <c r="A74" i="12"/>
  <c r="E73" i="12"/>
  <c r="D73" i="12"/>
  <c r="C73" i="12"/>
  <c r="A73" i="12"/>
  <c r="E72" i="12"/>
  <c r="D72" i="12"/>
  <c r="C72" i="12"/>
  <c r="A72" i="12"/>
  <c r="E71" i="12"/>
  <c r="D71" i="12"/>
  <c r="C71" i="12"/>
  <c r="A71" i="12"/>
  <c r="E70" i="12"/>
  <c r="D70" i="12"/>
  <c r="C70" i="12"/>
  <c r="A70" i="12"/>
  <c r="E69" i="12"/>
  <c r="D69" i="12"/>
  <c r="C69" i="12"/>
  <c r="A69" i="12"/>
  <c r="E68" i="12"/>
  <c r="D68" i="12"/>
  <c r="C68" i="12"/>
  <c r="A68" i="12"/>
  <c r="E67" i="12"/>
  <c r="D67" i="12"/>
  <c r="C67" i="12"/>
  <c r="A67" i="12"/>
  <c r="E66" i="12"/>
  <c r="D66" i="12"/>
  <c r="C66" i="12"/>
  <c r="B66" i="12"/>
  <c r="A66" i="12"/>
  <c r="A65" i="12"/>
  <c r="A64" i="12"/>
  <c r="A123" i="11"/>
  <c r="A122" i="11"/>
  <c r="E121" i="11"/>
  <c r="D121" i="11"/>
  <c r="C121" i="11"/>
  <c r="A121" i="11"/>
  <c r="E120" i="11"/>
  <c r="D120" i="11"/>
  <c r="C120" i="11"/>
  <c r="A120" i="11"/>
  <c r="E119" i="11"/>
  <c r="D119" i="11"/>
  <c r="C119" i="11"/>
  <c r="A119" i="11"/>
  <c r="E118" i="11"/>
  <c r="D118" i="11"/>
  <c r="C118" i="11"/>
  <c r="A118" i="11"/>
  <c r="E117" i="11"/>
  <c r="D117" i="11"/>
  <c r="C117" i="11"/>
  <c r="A117" i="11"/>
  <c r="E116" i="11"/>
  <c r="D116" i="11"/>
  <c r="C116" i="11"/>
  <c r="A116" i="11"/>
  <c r="E115" i="11"/>
  <c r="D115" i="11"/>
  <c r="C115" i="11"/>
  <c r="A115" i="11"/>
  <c r="E114" i="11"/>
  <c r="D114" i="11"/>
  <c r="C114" i="11"/>
  <c r="A114" i="11"/>
  <c r="E113" i="11"/>
  <c r="D113" i="11"/>
  <c r="C113" i="11"/>
  <c r="A113" i="11"/>
  <c r="E112" i="11"/>
  <c r="D112" i="11"/>
  <c r="C112" i="11"/>
  <c r="A112" i="11"/>
  <c r="E111" i="11"/>
  <c r="D111" i="11"/>
  <c r="C111" i="11"/>
  <c r="A111" i="11"/>
  <c r="E110" i="11"/>
  <c r="D110" i="11"/>
  <c r="C110" i="11"/>
  <c r="A110" i="11"/>
  <c r="E109" i="11"/>
  <c r="D109" i="11"/>
  <c r="C109" i="11"/>
  <c r="A109" i="11"/>
  <c r="E108" i="11"/>
  <c r="D108" i="11"/>
  <c r="C108" i="11"/>
  <c r="A108" i="11"/>
  <c r="E107" i="11"/>
  <c r="D107" i="11"/>
  <c r="C107" i="11"/>
  <c r="A107" i="11"/>
  <c r="E106" i="11"/>
  <c r="D106" i="11"/>
  <c r="C106" i="11"/>
  <c r="A106" i="11"/>
  <c r="E105" i="11"/>
  <c r="D105" i="11"/>
  <c r="C105" i="11"/>
  <c r="A105" i="11"/>
  <c r="E104" i="11"/>
  <c r="D104" i="11"/>
  <c r="C104" i="11"/>
  <c r="A104" i="11"/>
  <c r="E103" i="11"/>
  <c r="D103" i="11"/>
  <c r="C103" i="11"/>
  <c r="A103" i="11"/>
  <c r="E102" i="11"/>
  <c r="D102" i="11"/>
  <c r="C102" i="11"/>
  <c r="A102" i="11"/>
  <c r="E101" i="11"/>
  <c r="D101" i="11"/>
  <c r="C101" i="11"/>
  <c r="A101" i="11"/>
  <c r="E100" i="11"/>
  <c r="D100" i="11"/>
  <c r="C100" i="11"/>
  <c r="A100" i="11"/>
  <c r="E99" i="11"/>
  <c r="D99" i="11"/>
  <c r="C99" i="11"/>
  <c r="A99" i="11"/>
  <c r="E98" i="11"/>
  <c r="D98" i="11"/>
  <c r="C98" i="11"/>
  <c r="A98" i="11"/>
  <c r="E97" i="11"/>
  <c r="D97" i="11"/>
  <c r="C97" i="11"/>
  <c r="A97" i="11"/>
  <c r="E96" i="11"/>
  <c r="D96" i="11"/>
  <c r="C96" i="11"/>
  <c r="A96" i="11"/>
  <c r="E95" i="11"/>
  <c r="D95" i="11"/>
  <c r="C95" i="11"/>
  <c r="A95" i="11"/>
  <c r="E94" i="11"/>
  <c r="D94" i="11"/>
  <c r="C94" i="11"/>
  <c r="A94" i="11"/>
  <c r="E93" i="11"/>
  <c r="D93" i="11"/>
  <c r="C93" i="11"/>
  <c r="A93" i="11"/>
  <c r="E92" i="11"/>
  <c r="D92" i="11"/>
  <c r="C92" i="11"/>
  <c r="A92" i="11"/>
  <c r="E91" i="11"/>
  <c r="D91" i="11"/>
  <c r="C91" i="11"/>
  <c r="A91" i="11"/>
  <c r="E90" i="11"/>
  <c r="D90" i="11"/>
  <c r="C90" i="11"/>
  <c r="A90" i="11"/>
  <c r="E89" i="11"/>
  <c r="D89" i="11"/>
  <c r="C89" i="11"/>
  <c r="A89" i="11"/>
  <c r="E88" i="11"/>
  <c r="D88" i="11"/>
  <c r="C88" i="11"/>
  <c r="A88" i="11"/>
  <c r="E87" i="11"/>
  <c r="D87" i="11"/>
  <c r="C87" i="11"/>
  <c r="A87" i="11"/>
  <c r="E86" i="11"/>
  <c r="D86" i="11"/>
  <c r="C86" i="11"/>
  <c r="A86" i="11"/>
  <c r="E85" i="11"/>
  <c r="D85" i="11"/>
  <c r="C85" i="11"/>
  <c r="A85" i="11"/>
  <c r="E84" i="11"/>
  <c r="D84" i="11"/>
  <c r="C84" i="11"/>
  <c r="A84" i="11"/>
  <c r="E83" i="11"/>
  <c r="D83" i="11"/>
  <c r="C83" i="11"/>
  <c r="A83" i="11"/>
  <c r="E82" i="11"/>
  <c r="D82" i="11"/>
  <c r="C82" i="11"/>
  <c r="A82" i="11"/>
  <c r="E81" i="11"/>
  <c r="D81" i="11"/>
  <c r="C81" i="11"/>
  <c r="A81" i="11"/>
  <c r="E80" i="11"/>
  <c r="D80" i="11"/>
  <c r="C80" i="11"/>
  <c r="A80" i="11"/>
  <c r="E79" i="11"/>
  <c r="D79" i="11"/>
  <c r="C79" i="11"/>
  <c r="A79" i="11"/>
  <c r="E78" i="11"/>
  <c r="D78" i="11"/>
  <c r="C78" i="11"/>
  <c r="A78" i="11"/>
  <c r="E77" i="11"/>
  <c r="D77" i="11"/>
  <c r="C77" i="11"/>
  <c r="A77" i="11"/>
  <c r="E76" i="11"/>
  <c r="D76" i="11"/>
  <c r="C76" i="11"/>
  <c r="A76" i="11"/>
  <c r="E75" i="11"/>
  <c r="D75" i="11"/>
  <c r="C75" i="11"/>
  <c r="A75" i="11"/>
  <c r="E74" i="11"/>
  <c r="D74" i="11"/>
  <c r="C74" i="11"/>
  <c r="A74" i="11"/>
  <c r="E73" i="11"/>
  <c r="D73" i="11"/>
  <c r="C73" i="11"/>
  <c r="A73" i="11"/>
  <c r="E72" i="11"/>
  <c r="D72" i="11"/>
  <c r="C72" i="11"/>
  <c r="A72" i="11"/>
  <c r="E71" i="11"/>
  <c r="D71" i="11"/>
  <c r="C71" i="11"/>
  <c r="A71" i="11"/>
  <c r="E70" i="11"/>
  <c r="D70" i="11"/>
  <c r="C70" i="11"/>
  <c r="A70" i="11"/>
  <c r="E69" i="11"/>
  <c r="D69" i="11"/>
  <c r="C69" i="11"/>
  <c r="A69" i="11"/>
  <c r="E68" i="11"/>
  <c r="D68" i="11"/>
  <c r="C68" i="11"/>
  <c r="A68" i="11"/>
  <c r="E67" i="11"/>
  <c r="D67" i="11"/>
  <c r="C67" i="11"/>
  <c r="A67" i="11"/>
  <c r="E66" i="11"/>
  <c r="D66" i="11"/>
  <c r="C66" i="11"/>
  <c r="B66" i="11"/>
  <c r="A66" i="11"/>
  <c r="A65" i="11"/>
  <c r="A64" i="11"/>
  <c r="A161" i="10"/>
  <c r="A160" i="10"/>
  <c r="A159" i="10"/>
  <c r="A158" i="10"/>
  <c r="A157" i="10"/>
  <c r="A156" i="10"/>
  <c r="A155" i="10"/>
  <c r="A154" i="10"/>
  <c r="A153" i="10"/>
  <c r="A152" i="10"/>
  <c r="A151" i="10"/>
  <c r="A150" i="10"/>
  <c r="A149" i="10"/>
  <c r="A148" i="10"/>
  <c r="A147" i="10"/>
  <c r="A146" i="10"/>
  <c r="A145" i="10"/>
  <c r="A144" i="10"/>
  <c r="A143" i="10"/>
  <c r="A142" i="10"/>
  <c r="A141" i="10"/>
  <c r="A140" i="10"/>
  <c r="A139" i="10"/>
  <c r="A138" i="10"/>
  <c r="A137" i="10"/>
  <c r="A136" i="10"/>
  <c r="A135" i="10"/>
  <c r="A134" i="10"/>
  <c r="A133" i="10"/>
  <c r="A132" i="10"/>
  <c r="A131" i="10"/>
  <c r="A130" i="10"/>
  <c r="A129" i="10"/>
  <c r="A128" i="10"/>
  <c r="A127" i="10"/>
  <c r="A126" i="10"/>
  <c r="A125" i="10"/>
  <c r="A124" i="10"/>
  <c r="A123" i="10"/>
  <c r="A122" i="10"/>
  <c r="E121" i="10"/>
  <c r="D121" i="10"/>
  <c r="C121" i="10"/>
  <c r="A121" i="10"/>
  <c r="E120" i="10"/>
  <c r="D120" i="10"/>
  <c r="C120" i="10"/>
  <c r="A120" i="10"/>
  <c r="E119" i="10"/>
  <c r="D119" i="10"/>
  <c r="C119" i="10"/>
  <c r="A119" i="10"/>
  <c r="E118" i="10"/>
  <c r="D118" i="10"/>
  <c r="C118" i="10"/>
  <c r="A118" i="10"/>
  <c r="E117" i="10"/>
  <c r="D117" i="10"/>
  <c r="C117" i="10"/>
  <c r="A117" i="10"/>
  <c r="E116" i="10"/>
  <c r="D116" i="10"/>
  <c r="C116" i="10"/>
  <c r="A116" i="10"/>
  <c r="E115" i="10"/>
  <c r="D115" i="10"/>
  <c r="C115" i="10"/>
  <c r="A115" i="10"/>
  <c r="E114" i="10"/>
  <c r="D114" i="10"/>
  <c r="C114" i="10"/>
  <c r="A114" i="10"/>
  <c r="E113" i="10"/>
  <c r="D113" i="10"/>
  <c r="C113" i="10"/>
  <c r="A113" i="10"/>
  <c r="E112" i="10"/>
  <c r="D112" i="10"/>
  <c r="C112" i="10"/>
  <c r="A112" i="10"/>
  <c r="E111" i="10"/>
  <c r="D111" i="10"/>
  <c r="C111" i="10"/>
  <c r="A111" i="10"/>
  <c r="E110" i="10"/>
  <c r="D110" i="10"/>
  <c r="C110" i="10"/>
  <c r="A110" i="10"/>
  <c r="E109" i="10"/>
  <c r="D109" i="10"/>
  <c r="C109" i="10"/>
  <c r="A109" i="10"/>
  <c r="E108" i="10"/>
  <c r="D108" i="10"/>
  <c r="C108" i="10"/>
  <c r="A108" i="10"/>
  <c r="E107" i="10"/>
  <c r="D107" i="10"/>
  <c r="C107" i="10"/>
  <c r="A107" i="10"/>
  <c r="E106" i="10"/>
  <c r="D106" i="10"/>
  <c r="C106" i="10"/>
  <c r="A106" i="10"/>
  <c r="E105" i="10"/>
  <c r="D105" i="10"/>
  <c r="C105" i="10"/>
  <c r="A105" i="10"/>
  <c r="E104" i="10"/>
  <c r="D104" i="10"/>
  <c r="C104" i="10"/>
  <c r="A104" i="10"/>
  <c r="E103" i="10"/>
  <c r="D103" i="10"/>
  <c r="C103" i="10"/>
  <c r="A103" i="10"/>
  <c r="E102" i="10"/>
  <c r="D102" i="10"/>
  <c r="C102" i="10"/>
  <c r="A102" i="10"/>
  <c r="E101" i="10"/>
  <c r="D101" i="10"/>
  <c r="C101" i="10"/>
  <c r="A101" i="10"/>
  <c r="E100" i="10"/>
  <c r="D100" i="10"/>
  <c r="C100" i="10"/>
  <c r="A100" i="10"/>
  <c r="E99" i="10"/>
  <c r="D99" i="10"/>
  <c r="C99" i="10"/>
  <c r="A99" i="10"/>
  <c r="E98" i="10"/>
  <c r="D98" i="10"/>
  <c r="C98" i="10"/>
  <c r="A98" i="10"/>
  <c r="E97" i="10"/>
  <c r="D97" i="10"/>
  <c r="C97" i="10"/>
  <c r="A97" i="10"/>
  <c r="E96" i="10"/>
  <c r="D96" i="10"/>
  <c r="C96" i="10"/>
  <c r="A96" i="10"/>
  <c r="E95" i="10"/>
  <c r="D95" i="10"/>
  <c r="C95" i="10"/>
  <c r="A95" i="10"/>
  <c r="E94" i="10"/>
  <c r="D94" i="10"/>
  <c r="C94" i="10"/>
  <c r="A94" i="10"/>
  <c r="E93" i="10"/>
  <c r="D93" i="10"/>
  <c r="C93" i="10"/>
  <c r="A93" i="10"/>
  <c r="E92" i="10"/>
  <c r="D92" i="10"/>
  <c r="C92" i="10"/>
  <c r="A92" i="10"/>
  <c r="E91" i="10"/>
  <c r="D91" i="10"/>
  <c r="C91" i="10"/>
  <c r="A91" i="10"/>
  <c r="E90" i="10"/>
  <c r="D90" i="10"/>
  <c r="C90" i="10"/>
  <c r="A90" i="10"/>
  <c r="E89" i="10"/>
  <c r="D89" i="10"/>
  <c r="C89" i="10"/>
  <c r="A89" i="10"/>
  <c r="E88" i="10"/>
  <c r="D88" i="10"/>
  <c r="C88" i="10"/>
  <c r="A88" i="10"/>
  <c r="E87" i="10"/>
  <c r="D87" i="10"/>
  <c r="C87" i="10"/>
  <c r="A87" i="10"/>
  <c r="E86" i="10"/>
  <c r="D86" i="10"/>
  <c r="C86" i="10"/>
  <c r="A86" i="10"/>
  <c r="E85" i="10"/>
  <c r="D85" i="10"/>
  <c r="C85" i="10"/>
  <c r="A85" i="10"/>
  <c r="E84" i="10"/>
  <c r="D84" i="10"/>
  <c r="C84" i="10"/>
  <c r="A84" i="10"/>
  <c r="E83" i="10"/>
  <c r="D83" i="10"/>
  <c r="C83" i="10"/>
  <c r="A83" i="10"/>
  <c r="E82" i="10"/>
  <c r="D82" i="10"/>
  <c r="C82" i="10"/>
  <c r="A82" i="10"/>
  <c r="E81" i="10"/>
  <c r="D81" i="10"/>
  <c r="C81" i="10"/>
  <c r="A81" i="10"/>
  <c r="E80" i="10"/>
  <c r="D80" i="10"/>
  <c r="C80" i="10"/>
  <c r="A80" i="10"/>
  <c r="E79" i="10"/>
  <c r="D79" i="10"/>
  <c r="C79" i="10"/>
  <c r="A79" i="10"/>
  <c r="E78" i="10"/>
  <c r="D78" i="10"/>
  <c r="C78" i="10"/>
  <c r="A78" i="10"/>
  <c r="E77" i="10"/>
  <c r="D77" i="10"/>
  <c r="C77" i="10"/>
  <c r="A77" i="10"/>
  <c r="E76" i="10"/>
  <c r="D76" i="10"/>
  <c r="C76" i="10"/>
  <c r="A76" i="10"/>
  <c r="E75" i="10"/>
  <c r="D75" i="10"/>
  <c r="C75" i="10"/>
  <c r="A75" i="10"/>
  <c r="E74" i="10"/>
  <c r="D74" i="10"/>
  <c r="C74" i="10"/>
  <c r="A74" i="10"/>
  <c r="E73" i="10"/>
  <c r="D73" i="10"/>
  <c r="C73" i="10"/>
  <c r="A73" i="10"/>
  <c r="E72" i="10"/>
  <c r="D72" i="10"/>
  <c r="C72" i="10"/>
  <c r="A72" i="10"/>
  <c r="E71" i="10"/>
  <c r="D71" i="10"/>
  <c r="C71" i="10"/>
  <c r="A71" i="10"/>
  <c r="E70" i="10"/>
  <c r="D70" i="10"/>
  <c r="C70" i="10"/>
  <c r="A70" i="10"/>
  <c r="E69" i="10"/>
  <c r="D69" i="10"/>
  <c r="C69" i="10"/>
  <c r="A69" i="10"/>
  <c r="E68" i="10"/>
  <c r="D68" i="10"/>
  <c r="C68" i="10"/>
  <c r="A68" i="10"/>
  <c r="E67" i="10"/>
  <c r="D67" i="10"/>
  <c r="C67" i="10"/>
  <c r="A67" i="10"/>
  <c r="E66" i="10"/>
  <c r="D66" i="10"/>
  <c r="C66" i="10"/>
  <c r="B66" i="10"/>
  <c r="A66" i="10"/>
  <c r="A65" i="10"/>
  <c r="A64" i="10"/>
  <c r="A161" i="9"/>
  <c r="A160" i="9"/>
  <c r="A159" i="9"/>
  <c r="A158" i="9"/>
  <c r="A157" i="9"/>
  <c r="A156" i="9"/>
  <c r="A155" i="9"/>
  <c r="A154" i="9"/>
  <c r="A153" i="9"/>
  <c r="A152" i="9"/>
  <c r="A151" i="9"/>
  <c r="A150" i="9"/>
  <c r="A149" i="9"/>
  <c r="A148" i="9"/>
  <c r="A147" i="9"/>
  <c r="A146" i="9"/>
  <c r="A145" i="9"/>
  <c r="A144" i="9"/>
  <c r="A143" i="9"/>
  <c r="A142" i="9"/>
  <c r="A141" i="9"/>
  <c r="A140" i="9"/>
  <c r="A139" i="9"/>
  <c r="A138" i="9"/>
  <c r="A137" i="9"/>
  <c r="A136" i="9"/>
  <c r="A135" i="9"/>
  <c r="A134" i="9"/>
  <c r="A133" i="9"/>
  <c r="A132" i="9"/>
  <c r="A131" i="9"/>
  <c r="A130" i="9"/>
  <c r="A129" i="9"/>
  <c r="A128" i="9"/>
  <c r="A127" i="9"/>
  <c r="A126" i="9"/>
  <c r="A125" i="9"/>
  <c r="A124" i="9"/>
  <c r="A123" i="9"/>
  <c r="A122" i="9"/>
  <c r="E121" i="9"/>
  <c r="D121" i="9"/>
  <c r="C121" i="9"/>
  <c r="A121" i="9"/>
  <c r="E120" i="9"/>
  <c r="D120" i="9"/>
  <c r="C120" i="9"/>
  <c r="A120" i="9"/>
  <c r="E119" i="9"/>
  <c r="D119" i="9"/>
  <c r="C119" i="9"/>
  <c r="A119" i="9"/>
  <c r="E118" i="9"/>
  <c r="D118" i="9"/>
  <c r="C118" i="9"/>
  <c r="A118" i="9"/>
  <c r="E117" i="9"/>
  <c r="D117" i="9"/>
  <c r="C117" i="9"/>
  <c r="A117" i="9"/>
  <c r="E116" i="9"/>
  <c r="D116" i="9"/>
  <c r="C116" i="9"/>
  <c r="A116" i="9"/>
  <c r="E115" i="9"/>
  <c r="D115" i="9"/>
  <c r="C115" i="9"/>
  <c r="A115" i="9"/>
  <c r="E114" i="9"/>
  <c r="D114" i="9"/>
  <c r="C114" i="9"/>
  <c r="A114" i="9"/>
  <c r="E113" i="9"/>
  <c r="D113" i="9"/>
  <c r="C113" i="9"/>
  <c r="A113" i="9"/>
  <c r="E112" i="9"/>
  <c r="D112" i="9"/>
  <c r="C112" i="9"/>
  <c r="A112" i="9"/>
  <c r="E111" i="9"/>
  <c r="D111" i="9"/>
  <c r="C111" i="9"/>
  <c r="A111" i="9"/>
  <c r="E110" i="9"/>
  <c r="D110" i="9"/>
  <c r="C110" i="9"/>
  <c r="A110" i="9"/>
  <c r="E109" i="9"/>
  <c r="D109" i="9"/>
  <c r="C109" i="9"/>
  <c r="A109" i="9"/>
  <c r="E108" i="9"/>
  <c r="D108" i="9"/>
  <c r="C108" i="9"/>
  <c r="A108" i="9"/>
  <c r="E107" i="9"/>
  <c r="D107" i="9"/>
  <c r="C107" i="9"/>
  <c r="A107" i="9"/>
  <c r="E106" i="9"/>
  <c r="D106" i="9"/>
  <c r="C106" i="9"/>
  <c r="A106" i="9"/>
  <c r="E105" i="9"/>
  <c r="D105" i="9"/>
  <c r="C105" i="9"/>
  <c r="A105" i="9"/>
  <c r="E104" i="9"/>
  <c r="D104" i="9"/>
  <c r="C104" i="9"/>
  <c r="A104" i="9"/>
  <c r="E103" i="9"/>
  <c r="D103" i="9"/>
  <c r="C103" i="9"/>
  <c r="A103" i="9"/>
  <c r="E102" i="9"/>
  <c r="D102" i="9"/>
  <c r="C102" i="9"/>
  <c r="A102" i="9"/>
  <c r="E101" i="9"/>
  <c r="D101" i="9"/>
  <c r="C101" i="9"/>
  <c r="A101" i="9"/>
  <c r="E100" i="9"/>
  <c r="D100" i="9"/>
  <c r="C100" i="9"/>
  <c r="A100" i="9"/>
  <c r="E99" i="9"/>
  <c r="D99" i="9"/>
  <c r="C99" i="9"/>
  <c r="A99" i="9"/>
  <c r="E98" i="9"/>
  <c r="D98" i="9"/>
  <c r="C98" i="9"/>
  <c r="A98" i="9"/>
  <c r="E97" i="9"/>
  <c r="D97" i="9"/>
  <c r="C97" i="9"/>
  <c r="A97" i="9"/>
  <c r="E96" i="9"/>
  <c r="D96" i="9"/>
  <c r="C96" i="9"/>
  <c r="A96" i="9"/>
  <c r="E95" i="9"/>
  <c r="D95" i="9"/>
  <c r="C95" i="9"/>
  <c r="A95" i="9"/>
  <c r="E94" i="9"/>
  <c r="D94" i="9"/>
  <c r="C94" i="9"/>
  <c r="A94" i="9"/>
  <c r="E93" i="9"/>
  <c r="D93" i="9"/>
  <c r="C93" i="9"/>
  <c r="A93" i="9"/>
  <c r="E92" i="9"/>
  <c r="D92" i="9"/>
  <c r="C92" i="9"/>
  <c r="A92" i="9"/>
  <c r="E91" i="9"/>
  <c r="D91" i="9"/>
  <c r="C91" i="9"/>
  <c r="A91" i="9"/>
  <c r="E90" i="9"/>
  <c r="D90" i="9"/>
  <c r="C90" i="9"/>
  <c r="A90" i="9"/>
  <c r="E89" i="9"/>
  <c r="D89" i="9"/>
  <c r="C89" i="9"/>
  <c r="A89" i="9"/>
  <c r="E88" i="9"/>
  <c r="D88" i="9"/>
  <c r="C88" i="9"/>
  <c r="A88" i="9"/>
  <c r="E87" i="9"/>
  <c r="D87" i="9"/>
  <c r="C87" i="9"/>
  <c r="A87" i="9"/>
  <c r="E86" i="9"/>
  <c r="D86" i="9"/>
  <c r="C86" i="9"/>
  <c r="A86" i="9"/>
  <c r="E85" i="9"/>
  <c r="D85" i="9"/>
  <c r="C85" i="9"/>
  <c r="A85" i="9"/>
  <c r="E84" i="9"/>
  <c r="D84" i="9"/>
  <c r="C84" i="9"/>
  <c r="A84" i="9"/>
  <c r="E83" i="9"/>
  <c r="D83" i="9"/>
  <c r="C83" i="9"/>
  <c r="A83" i="9"/>
  <c r="E82" i="9"/>
  <c r="D82" i="9"/>
  <c r="C82" i="9"/>
  <c r="A82" i="9"/>
  <c r="E81" i="9"/>
  <c r="D81" i="9"/>
  <c r="C81" i="9"/>
  <c r="A81" i="9"/>
  <c r="E80" i="9"/>
  <c r="D80" i="9"/>
  <c r="C80" i="9"/>
  <c r="A80" i="9"/>
  <c r="E79" i="9"/>
  <c r="D79" i="9"/>
  <c r="C79" i="9"/>
  <c r="A79" i="9"/>
  <c r="E78" i="9"/>
  <c r="D78" i="9"/>
  <c r="C78" i="9"/>
  <c r="A78" i="9"/>
  <c r="E77" i="9"/>
  <c r="D77" i="9"/>
  <c r="C77" i="9"/>
  <c r="A77" i="9"/>
  <c r="E76" i="9"/>
  <c r="D76" i="9"/>
  <c r="C76" i="9"/>
  <c r="A76" i="9"/>
  <c r="E75" i="9"/>
  <c r="D75" i="9"/>
  <c r="C75" i="9"/>
  <c r="A75" i="9"/>
  <c r="E74" i="9"/>
  <c r="D74" i="9"/>
  <c r="C74" i="9"/>
  <c r="A74" i="9"/>
  <c r="E73" i="9"/>
  <c r="D73" i="9"/>
  <c r="C73" i="9"/>
  <c r="A73" i="9"/>
  <c r="E72" i="9"/>
  <c r="D72" i="9"/>
  <c r="C72" i="9"/>
  <c r="A72" i="9"/>
  <c r="E71" i="9"/>
  <c r="D71" i="9"/>
  <c r="C71" i="9"/>
  <c r="A71" i="9"/>
  <c r="E70" i="9"/>
  <c r="D70" i="9"/>
  <c r="C70" i="9"/>
  <c r="A70" i="9"/>
  <c r="E69" i="9"/>
  <c r="D69" i="9"/>
  <c r="C69" i="9"/>
  <c r="A69" i="9"/>
  <c r="E68" i="9"/>
  <c r="D68" i="9"/>
  <c r="C68" i="9"/>
  <c r="A68" i="9"/>
  <c r="E67" i="9"/>
  <c r="D67" i="9"/>
  <c r="C67" i="9"/>
  <c r="A67" i="9"/>
  <c r="E66" i="9"/>
  <c r="D66" i="9"/>
  <c r="C66" i="9"/>
  <c r="B66" i="9"/>
  <c r="A66" i="9"/>
  <c r="A65" i="9"/>
  <c r="A64" i="9"/>
  <c r="A161" i="8"/>
  <c r="A160" i="8"/>
  <c r="A159" i="8"/>
  <c r="A158" i="8"/>
  <c r="A157" i="8"/>
  <c r="A156" i="8"/>
  <c r="A155" i="8"/>
  <c r="A154" i="8"/>
  <c r="A153" i="8"/>
  <c r="A152" i="8"/>
  <c r="A151" i="8"/>
  <c r="A150" i="8"/>
  <c r="A149" i="8"/>
  <c r="A148" i="8"/>
  <c r="A147" i="8"/>
  <c r="A146" i="8"/>
  <c r="A145" i="8"/>
  <c r="A144" i="8"/>
  <c r="A143" i="8"/>
  <c r="A142" i="8"/>
  <c r="A141" i="8"/>
  <c r="A140" i="8"/>
  <c r="A139" i="8"/>
  <c r="A138" i="8"/>
  <c r="A137" i="8"/>
  <c r="A136" i="8"/>
  <c r="A135" i="8"/>
  <c r="A134" i="8"/>
  <c r="A133" i="8"/>
  <c r="A132" i="8"/>
  <c r="A131" i="8"/>
  <c r="A130" i="8"/>
  <c r="A129" i="8"/>
  <c r="A128" i="8"/>
  <c r="A127" i="8"/>
  <c r="A126" i="8"/>
  <c r="A125" i="8"/>
  <c r="A124" i="8"/>
  <c r="A123" i="8"/>
  <c r="A122" i="8"/>
  <c r="E121" i="8"/>
  <c r="D121" i="8"/>
  <c r="C121" i="8"/>
  <c r="A121" i="8"/>
  <c r="E120" i="8"/>
  <c r="D120" i="8"/>
  <c r="C120" i="8"/>
  <c r="A120" i="8"/>
  <c r="E119" i="8"/>
  <c r="D119" i="8"/>
  <c r="C119" i="8"/>
  <c r="A119" i="8"/>
  <c r="E118" i="8"/>
  <c r="D118" i="8"/>
  <c r="C118" i="8"/>
  <c r="A118" i="8"/>
  <c r="E117" i="8"/>
  <c r="D117" i="8"/>
  <c r="C117" i="8"/>
  <c r="A117" i="8"/>
  <c r="E116" i="8"/>
  <c r="D116" i="8"/>
  <c r="C116" i="8"/>
  <c r="A116" i="8"/>
  <c r="E115" i="8"/>
  <c r="D115" i="8"/>
  <c r="C115" i="8"/>
  <c r="A115" i="8"/>
  <c r="E114" i="8"/>
  <c r="D114" i="8"/>
  <c r="C114" i="8"/>
  <c r="A114" i="8"/>
  <c r="E113" i="8"/>
  <c r="D113" i="8"/>
  <c r="C113" i="8"/>
  <c r="A113" i="8"/>
  <c r="E112" i="8"/>
  <c r="D112" i="8"/>
  <c r="C112" i="8"/>
  <c r="A112" i="8"/>
  <c r="E111" i="8"/>
  <c r="D111" i="8"/>
  <c r="C111" i="8"/>
  <c r="A111" i="8"/>
  <c r="E110" i="8"/>
  <c r="D110" i="8"/>
  <c r="C110" i="8"/>
  <c r="A110" i="8"/>
  <c r="E109" i="8"/>
  <c r="D109" i="8"/>
  <c r="C109" i="8"/>
  <c r="A109" i="8"/>
  <c r="E108" i="8"/>
  <c r="D108" i="8"/>
  <c r="C108" i="8"/>
  <c r="A108" i="8"/>
  <c r="E107" i="8"/>
  <c r="D107" i="8"/>
  <c r="C107" i="8"/>
  <c r="A107" i="8"/>
  <c r="E106" i="8"/>
  <c r="D106" i="8"/>
  <c r="C106" i="8"/>
  <c r="A106" i="8"/>
  <c r="E105" i="8"/>
  <c r="D105" i="8"/>
  <c r="C105" i="8"/>
  <c r="A105" i="8"/>
  <c r="E104" i="8"/>
  <c r="D104" i="8"/>
  <c r="C104" i="8"/>
  <c r="A104" i="8"/>
  <c r="E103" i="8"/>
  <c r="D103" i="8"/>
  <c r="C103" i="8"/>
  <c r="A103" i="8"/>
  <c r="E102" i="8"/>
  <c r="D102" i="8"/>
  <c r="C102" i="8"/>
  <c r="A102" i="8"/>
  <c r="E101" i="8"/>
  <c r="D101" i="8"/>
  <c r="C101" i="8"/>
  <c r="A101" i="8"/>
  <c r="E100" i="8"/>
  <c r="D100" i="8"/>
  <c r="C100" i="8"/>
  <c r="A100" i="8"/>
  <c r="E99" i="8"/>
  <c r="D99" i="8"/>
  <c r="C99" i="8"/>
  <c r="A99" i="8"/>
  <c r="E98" i="8"/>
  <c r="D98" i="8"/>
  <c r="C98" i="8"/>
  <c r="A98" i="8"/>
  <c r="E97" i="8"/>
  <c r="D97" i="8"/>
  <c r="C97" i="8"/>
  <c r="A97" i="8"/>
  <c r="E96" i="8"/>
  <c r="D96" i="8"/>
  <c r="C96" i="8"/>
  <c r="A96" i="8"/>
  <c r="E95" i="8"/>
  <c r="D95" i="8"/>
  <c r="C95" i="8"/>
  <c r="A95" i="8"/>
  <c r="E94" i="8"/>
  <c r="D94" i="8"/>
  <c r="C94" i="8"/>
  <c r="A94" i="8"/>
  <c r="E93" i="8"/>
  <c r="D93" i="8"/>
  <c r="C93" i="8"/>
  <c r="A93" i="8"/>
  <c r="E92" i="8"/>
  <c r="D92" i="8"/>
  <c r="C92" i="8"/>
  <c r="A92" i="8"/>
  <c r="E91" i="8"/>
  <c r="D91" i="8"/>
  <c r="C91" i="8"/>
  <c r="A91" i="8"/>
  <c r="E90" i="8"/>
  <c r="D90" i="8"/>
  <c r="C90" i="8"/>
  <c r="A90" i="8"/>
  <c r="E89" i="8"/>
  <c r="D89" i="8"/>
  <c r="C89" i="8"/>
  <c r="A89" i="8"/>
  <c r="E88" i="8"/>
  <c r="D88" i="8"/>
  <c r="C88" i="8"/>
  <c r="A88" i="8"/>
  <c r="E87" i="8"/>
  <c r="D87" i="8"/>
  <c r="C87" i="8"/>
  <c r="A87" i="8"/>
  <c r="E86" i="8"/>
  <c r="D86" i="8"/>
  <c r="C86" i="8"/>
  <c r="A86" i="8"/>
  <c r="E85" i="8"/>
  <c r="D85" i="8"/>
  <c r="C85" i="8"/>
  <c r="A85" i="8"/>
  <c r="E84" i="8"/>
  <c r="D84" i="8"/>
  <c r="C84" i="8"/>
  <c r="A84" i="8"/>
  <c r="E83" i="8"/>
  <c r="D83" i="8"/>
  <c r="C83" i="8"/>
  <c r="A83" i="8"/>
  <c r="E82" i="8"/>
  <c r="D82" i="8"/>
  <c r="C82" i="8"/>
  <c r="A82" i="8"/>
  <c r="E81" i="8"/>
  <c r="D81" i="8"/>
  <c r="C81" i="8"/>
  <c r="A81" i="8"/>
  <c r="E80" i="8"/>
  <c r="D80" i="8"/>
  <c r="C80" i="8"/>
  <c r="A80" i="8"/>
  <c r="E79" i="8"/>
  <c r="D79" i="8"/>
  <c r="C79" i="8"/>
  <c r="A79" i="8"/>
  <c r="E78" i="8"/>
  <c r="D78" i="8"/>
  <c r="C78" i="8"/>
  <c r="A78" i="8"/>
  <c r="E77" i="8"/>
  <c r="D77" i="8"/>
  <c r="C77" i="8"/>
  <c r="A77" i="8"/>
  <c r="E76" i="8"/>
  <c r="D76" i="8"/>
  <c r="C76" i="8"/>
  <c r="A76" i="8"/>
  <c r="E75" i="8"/>
  <c r="D75" i="8"/>
  <c r="C75" i="8"/>
  <c r="A75" i="8"/>
  <c r="E74" i="8"/>
  <c r="D74" i="8"/>
  <c r="C74" i="8"/>
  <c r="A74" i="8"/>
  <c r="E73" i="8"/>
  <c r="D73" i="8"/>
  <c r="C73" i="8"/>
  <c r="A73" i="8"/>
  <c r="E72" i="8"/>
  <c r="D72" i="8"/>
  <c r="C72" i="8"/>
  <c r="A72" i="8"/>
  <c r="E71" i="8"/>
  <c r="D71" i="8"/>
  <c r="C71" i="8"/>
  <c r="A71" i="8"/>
  <c r="E70" i="8"/>
  <c r="D70" i="8"/>
  <c r="C70" i="8"/>
  <c r="A70" i="8"/>
  <c r="E69" i="8"/>
  <c r="D69" i="8"/>
  <c r="C69" i="8"/>
  <c r="A69" i="8"/>
  <c r="E68" i="8"/>
  <c r="D68" i="8"/>
  <c r="C68" i="8"/>
  <c r="A68" i="8"/>
  <c r="E67" i="8"/>
  <c r="D67" i="8"/>
  <c r="C67" i="8"/>
  <c r="A67" i="8"/>
  <c r="E66" i="8"/>
  <c r="D66" i="8"/>
  <c r="C66" i="8"/>
  <c r="B66" i="8"/>
  <c r="A66" i="8"/>
  <c r="A65" i="8"/>
  <c r="A64" i="8"/>
  <c r="A161" i="7"/>
  <c r="A160" i="7"/>
  <c r="A159" i="7"/>
  <c r="A158" i="7"/>
  <c r="A157" i="7"/>
  <c r="A156" i="7"/>
  <c r="A155" i="7"/>
  <c r="A154" i="7"/>
  <c r="A153" i="7"/>
  <c r="A152" i="7"/>
  <c r="A151" i="7"/>
  <c r="A150" i="7"/>
  <c r="A149" i="7"/>
  <c r="A148" i="7"/>
  <c r="A147" i="7"/>
  <c r="A146" i="7"/>
  <c r="A145" i="7"/>
  <c r="A144" i="7"/>
  <c r="A143" i="7"/>
  <c r="A142" i="7"/>
  <c r="A141" i="7"/>
  <c r="A140" i="7"/>
  <c r="A139" i="7"/>
  <c r="A138" i="7"/>
  <c r="A137" i="7"/>
  <c r="A136" i="7"/>
  <c r="A135" i="7"/>
  <c r="A134" i="7"/>
  <c r="A133" i="7"/>
  <c r="A132" i="7"/>
  <c r="A131" i="7"/>
  <c r="A130" i="7"/>
  <c r="A129" i="7"/>
  <c r="A128" i="7"/>
  <c r="A127" i="7"/>
  <c r="A126" i="7"/>
  <c r="A125" i="7"/>
  <c r="A124" i="7"/>
  <c r="A123" i="7"/>
  <c r="A122" i="7"/>
  <c r="E121" i="7"/>
  <c r="D121" i="7"/>
  <c r="C121" i="7"/>
  <c r="A121" i="7"/>
  <c r="E120" i="7"/>
  <c r="D120" i="7"/>
  <c r="C120" i="7"/>
  <c r="A120" i="7"/>
  <c r="E119" i="7"/>
  <c r="D119" i="7"/>
  <c r="C119" i="7"/>
  <c r="A119" i="7"/>
  <c r="E118" i="7"/>
  <c r="D118" i="7"/>
  <c r="C118" i="7"/>
  <c r="A118" i="7"/>
  <c r="E117" i="7"/>
  <c r="D117" i="7"/>
  <c r="C117" i="7"/>
  <c r="A117" i="7"/>
  <c r="E116" i="7"/>
  <c r="D116" i="7"/>
  <c r="C116" i="7"/>
  <c r="A116" i="7"/>
  <c r="E115" i="7"/>
  <c r="D115" i="7"/>
  <c r="C115" i="7"/>
  <c r="A115" i="7"/>
  <c r="E114" i="7"/>
  <c r="D114" i="7"/>
  <c r="C114" i="7"/>
  <c r="A114" i="7"/>
  <c r="E113" i="7"/>
  <c r="D113" i="7"/>
  <c r="C113" i="7"/>
  <c r="A113" i="7"/>
  <c r="E112" i="7"/>
  <c r="D112" i="7"/>
  <c r="C112" i="7"/>
  <c r="A112" i="7"/>
  <c r="E111" i="7"/>
  <c r="D111" i="7"/>
  <c r="C111" i="7"/>
  <c r="A111" i="7"/>
  <c r="E110" i="7"/>
  <c r="D110" i="7"/>
  <c r="C110" i="7"/>
  <c r="A110" i="7"/>
  <c r="E109" i="7"/>
  <c r="D109" i="7"/>
  <c r="C109" i="7"/>
  <c r="A109" i="7"/>
  <c r="E108" i="7"/>
  <c r="D108" i="7"/>
  <c r="C108" i="7"/>
  <c r="A108" i="7"/>
  <c r="E107" i="7"/>
  <c r="D107" i="7"/>
  <c r="C107" i="7"/>
  <c r="A107" i="7"/>
  <c r="E106" i="7"/>
  <c r="D106" i="7"/>
  <c r="C106" i="7"/>
  <c r="A106" i="7"/>
  <c r="E105" i="7"/>
  <c r="D105" i="7"/>
  <c r="C105" i="7"/>
  <c r="A105" i="7"/>
  <c r="E104" i="7"/>
  <c r="D104" i="7"/>
  <c r="C104" i="7"/>
  <c r="A104" i="7"/>
  <c r="E103" i="7"/>
  <c r="D103" i="7"/>
  <c r="C103" i="7"/>
  <c r="A103" i="7"/>
  <c r="E102" i="7"/>
  <c r="D102" i="7"/>
  <c r="C102" i="7"/>
  <c r="A102" i="7"/>
  <c r="E101" i="7"/>
  <c r="D101" i="7"/>
  <c r="C101" i="7"/>
  <c r="A101" i="7"/>
  <c r="E100" i="7"/>
  <c r="D100" i="7"/>
  <c r="C100" i="7"/>
  <c r="A100" i="7"/>
  <c r="E99" i="7"/>
  <c r="D99" i="7"/>
  <c r="C99" i="7"/>
  <c r="A99" i="7"/>
  <c r="E98" i="7"/>
  <c r="D98" i="7"/>
  <c r="C98" i="7"/>
  <c r="A98" i="7"/>
  <c r="E97" i="7"/>
  <c r="D97" i="7"/>
  <c r="C97" i="7"/>
  <c r="A97" i="7"/>
  <c r="E96" i="7"/>
  <c r="D96" i="7"/>
  <c r="C96" i="7"/>
  <c r="A96" i="7"/>
  <c r="E95" i="7"/>
  <c r="D95" i="7"/>
  <c r="C95" i="7"/>
  <c r="A95" i="7"/>
  <c r="E94" i="7"/>
  <c r="D94" i="7"/>
  <c r="C94" i="7"/>
  <c r="A94" i="7"/>
  <c r="E93" i="7"/>
  <c r="D93" i="7"/>
  <c r="C93" i="7"/>
  <c r="A93" i="7"/>
  <c r="E92" i="7"/>
  <c r="D92" i="7"/>
  <c r="C92" i="7"/>
  <c r="A92" i="7"/>
  <c r="E91" i="7"/>
  <c r="D91" i="7"/>
  <c r="C91" i="7"/>
  <c r="A91" i="7"/>
  <c r="E90" i="7"/>
  <c r="D90" i="7"/>
  <c r="C90" i="7"/>
  <c r="A90" i="7"/>
  <c r="E89" i="7"/>
  <c r="D89" i="7"/>
  <c r="C89" i="7"/>
  <c r="A89" i="7"/>
  <c r="E88" i="7"/>
  <c r="D88" i="7"/>
  <c r="C88" i="7"/>
  <c r="A88" i="7"/>
  <c r="E87" i="7"/>
  <c r="D87" i="7"/>
  <c r="C87" i="7"/>
  <c r="A87" i="7"/>
  <c r="E86" i="7"/>
  <c r="D86" i="7"/>
  <c r="C86" i="7"/>
  <c r="A86" i="7"/>
  <c r="E85" i="7"/>
  <c r="D85" i="7"/>
  <c r="C85" i="7"/>
  <c r="A85" i="7"/>
  <c r="E84" i="7"/>
  <c r="D84" i="7"/>
  <c r="C84" i="7"/>
  <c r="A84" i="7"/>
  <c r="E83" i="7"/>
  <c r="D83" i="7"/>
  <c r="C83" i="7"/>
  <c r="A83" i="7"/>
  <c r="E82" i="7"/>
  <c r="D82" i="7"/>
  <c r="C82" i="7"/>
  <c r="A82" i="7"/>
  <c r="E81" i="7"/>
  <c r="D81" i="7"/>
  <c r="C81" i="7"/>
  <c r="A81" i="7"/>
  <c r="E80" i="7"/>
  <c r="D80" i="7"/>
  <c r="C80" i="7"/>
  <c r="A80" i="7"/>
  <c r="E79" i="7"/>
  <c r="D79" i="7"/>
  <c r="C79" i="7"/>
  <c r="A79" i="7"/>
  <c r="E78" i="7"/>
  <c r="D78" i="7"/>
  <c r="C78" i="7"/>
  <c r="A78" i="7"/>
  <c r="E77" i="7"/>
  <c r="D77" i="7"/>
  <c r="C77" i="7"/>
  <c r="A77" i="7"/>
  <c r="E76" i="7"/>
  <c r="D76" i="7"/>
  <c r="C76" i="7"/>
  <c r="A76" i="7"/>
  <c r="E75" i="7"/>
  <c r="D75" i="7"/>
  <c r="C75" i="7"/>
  <c r="A75" i="7"/>
  <c r="E74" i="7"/>
  <c r="D74" i="7"/>
  <c r="C74" i="7"/>
  <c r="A74" i="7"/>
  <c r="E73" i="7"/>
  <c r="D73" i="7"/>
  <c r="C73" i="7"/>
  <c r="A73" i="7"/>
  <c r="E72" i="7"/>
  <c r="D72" i="7"/>
  <c r="C72" i="7"/>
  <c r="A72" i="7"/>
  <c r="E71" i="7"/>
  <c r="D71" i="7"/>
  <c r="C71" i="7"/>
  <c r="A71" i="7"/>
  <c r="E70" i="7"/>
  <c r="D70" i="7"/>
  <c r="C70" i="7"/>
  <c r="A70" i="7"/>
  <c r="E69" i="7"/>
  <c r="D69" i="7"/>
  <c r="C69" i="7"/>
  <c r="A69" i="7"/>
  <c r="E68" i="7"/>
  <c r="D68" i="7"/>
  <c r="C68" i="7"/>
  <c r="A68" i="7"/>
  <c r="E67" i="7"/>
  <c r="D67" i="7"/>
  <c r="C67" i="7"/>
  <c r="A67" i="7"/>
  <c r="E66" i="7"/>
  <c r="D66" i="7"/>
  <c r="C66" i="7"/>
  <c r="B66" i="7"/>
  <c r="A66" i="7"/>
  <c r="A65" i="7"/>
  <c r="A64" i="7"/>
  <c r="Q59" i="20"/>
  <c r="R58" i="20"/>
  <c r="Q58" i="20"/>
  <c r="R57" i="20"/>
  <c r="Q57" i="20"/>
  <c r="R56" i="20"/>
  <c r="Q56" i="20"/>
  <c r="R55" i="20"/>
  <c r="Q55" i="20"/>
  <c r="S49" i="20"/>
  <c r="Q49" i="20"/>
  <c r="S48" i="20"/>
  <c r="Q48" i="20"/>
  <c r="S47" i="20"/>
  <c r="R47" i="20"/>
  <c r="Q47" i="20"/>
  <c r="S46" i="20"/>
  <c r="R46" i="20"/>
  <c r="Q46" i="20"/>
  <c r="S45" i="20"/>
  <c r="R45" i="20"/>
  <c r="Q45" i="20"/>
  <c r="S44" i="20"/>
  <c r="R44" i="20"/>
  <c r="Q44" i="20"/>
  <c r="B14" i="20"/>
  <c r="A14" i="20"/>
  <c r="Q59" i="19"/>
  <c r="R58" i="19"/>
  <c r="Q58" i="19"/>
  <c r="R57" i="19"/>
  <c r="Q57" i="19"/>
  <c r="R56" i="19"/>
  <c r="Q56" i="19"/>
  <c r="R55" i="19"/>
  <c r="Q55" i="19"/>
  <c r="S49" i="19"/>
  <c r="Q49" i="19"/>
  <c r="S48" i="19"/>
  <c r="Q48" i="19"/>
  <c r="S47" i="19"/>
  <c r="R47" i="19"/>
  <c r="Q47" i="19"/>
  <c r="S46" i="19"/>
  <c r="R46" i="19"/>
  <c r="Q46" i="19"/>
  <c r="S45" i="19"/>
  <c r="R45" i="19"/>
  <c r="Q45" i="19"/>
  <c r="S44" i="19"/>
  <c r="R44" i="19"/>
  <c r="Q44" i="19"/>
  <c r="B14" i="19"/>
  <c r="A14" i="19"/>
  <c r="Q59" i="18"/>
  <c r="R58" i="18"/>
  <c r="Q58" i="18"/>
  <c r="R57" i="18"/>
  <c r="Q57" i="18"/>
  <c r="R56" i="18"/>
  <c r="Q56" i="18"/>
  <c r="R55" i="18"/>
  <c r="Q55" i="18"/>
  <c r="S49" i="18"/>
  <c r="Q49" i="18"/>
  <c r="S48" i="18"/>
  <c r="Q48" i="18"/>
  <c r="S47" i="18"/>
  <c r="R47" i="18"/>
  <c r="Q47" i="18"/>
  <c r="S46" i="18"/>
  <c r="R46" i="18"/>
  <c r="Q46" i="18"/>
  <c r="S45" i="18"/>
  <c r="R45" i="18"/>
  <c r="Q45" i="18"/>
  <c r="S44" i="18"/>
  <c r="R44" i="18"/>
  <c r="Q44" i="18"/>
  <c r="B14" i="18"/>
  <c r="A14" i="18"/>
  <c r="Q59" i="17"/>
  <c r="R58" i="17"/>
  <c r="Q58" i="17"/>
  <c r="R57" i="17"/>
  <c r="Q57" i="17"/>
  <c r="R56" i="17"/>
  <c r="Q56" i="17"/>
  <c r="R55" i="17"/>
  <c r="Q55" i="17"/>
  <c r="S49" i="17"/>
  <c r="Q49" i="17"/>
  <c r="S48" i="17"/>
  <c r="Q48" i="17"/>
  <c r="S47" i="17"/>
  <c r="R47" i="17"/>
  <c r="Q47" i="17"/>
  <c r="S46" i="17"/>
  <c r="R46" i="17"/>
  <c r="Q46" i="17"/>
  <c r="S45" i="17"/>
  <c r="R45" i="17"/>
  <c r="Q45" i="17"/>
  <c r="S44" i="17"/>
  <c r="R44" i="17"/>
  <c r="Q44" i="17"/>
  <c r="B14" i="17"/>
  <c r="A14" i="17"/>
  <c r="E56" i="16"/>
  <c r="Q59" i="16"/>
  <c r="R58" i="16"/>
  <c r="Q58" i="16"/>
  <c r="R57" i="16"/>
  <c r="Q57" i="16"/>
  <c r="R56" i="16"/>
  <c r="Q56" i="16"/>
  <c r="R55" i="16"/>
  <c r="Q55" i="16"/>
  <c r="S49" i="16"/>
  <c r="Q49" i="16"/>
  <c r="S48" i="16"/>
  <c r="Q48" i="16"/>
  <c r="S47" i="16"/>
  <c r="R47" i="16"/>
  <c r="Q47" i="16"/>
  <c r="S46" i="16"/>
  <c r="R46" i="16"/>
  <c r="Q46" i="16"/>
  <c r="S45" i="16"/>
  <c r="R45" i="16"/>
  <c r="Q45" i="16"/>
  <c r="S44" i="16"/>
  <c r="R44" i="16"/>
  <c r="Q44" i="16"/>
  <c r="B14" i="16"/>
  <c r="A14" i="16"/>
  <c r="Q59" i="15"/>
  <c r="R58" i="15"/>
  <c r="Q58" i="15"/>
  <c r="R57" i="15"/>
  <c r="Q57" i="15"/>
  <c r="R56" i="15"/>
  <c r="Q56" i="15"/>
  <c r="R55" i="15"/>
  <c r="Q55" i="15"/>
  <c r="S49" i="15"/>
  <c r="Q49" i="15"/>
  <c r="S48" i="15"/>
  <c r="Q48" i="15"/>
  <c r="S47" i="15"/>
  <c r="R47" i="15"/>
  <c r="Q47" i="15"/>
  <c r="S46" i="15"/>
  <c r="R46" i="15"/>
  <c r="Q46" i="15"/>
  <c r="S45" i="15"/>
  <c r="R45" i="15"/>
  <c r="Q45" i="15"/>
  <c r="S44" i="15"/>
  <c r="R44" i="15"/>
  <c r="Q44" i="15"/>
  <c r="B14" i="15"/>
  <c r="A14" i="15"/>
  <c r="Q59" i="13"/>
  <c r="R58" i="13"/>
  <c r="Q58" i="13"/>
  <c r="R57" i="13"/>
  <c r="Q57" i="13"/>
  <c r="R56" i="13"/>
  <c r="Q56" i="13"/>
  <c r="R55" i="13"/>
  <c r="Q55" i="13"/>
  <c r="S49" i="13"/>
  <c r="Q49" i="13"/>
  <c r="S48" i="13"/>
  <c r="Q48" i="13"/>
  <c r="S47" i="13"/>
  <c r="R47" i="13"/>
  <c r="Q47" i="13"/>
  <c r="S46" i="13"/>
  <c r="R46" i="13"/>
  <c r="Q46" i="13"/>
  <c r="S45" i="13"/>
  <c r="R45" i="13"/>
  <c r="Q45" i="13"/>
  <c r="S44" i="13"/>
  <c r="R44" i="13"/>
  <c r="Q44" i="13"/>
  <c r="B14" i="13"/>
  <c r="A14" i="13"/>
  <c r="Q59" i="14"/>
  <c r="R58" i="14"/>
  <c r="Q58" i="14"/>
  <c r="R57" i="14"/>
  <c r="Q57" i="14"/>
  <c r="R56" i="14"/>
  <c r="Q56" i="14"/>
  <c r="R55" i="14"/>
  <c r="Q55" i="14"/>
  <c r="S49" i="14"/>
  <c r="Q49" i="14"/>
  <c r="S48" i="14"/>
  <c r="S59" i="14" s="1"/>
  <c r="Q48" i="14"/>
  <c r="S47" i="14"/>
  <c r="R47" i="14"/>
  <c r="Q47" i="14"/>
  <c r="S46" i="14"/>
  <c r="R46" i="14"/>
  <c r="Q46" i="14"/>
  <c r="S45" i="14"/>
  <c r="R45" i="14"/>
  <c r="Q45" i="14"/>
  <c r="S44" i="14"/>
  <c r="R44" i="14"/>
  <c r="Q44" i="14"/>
  <c r="B14" i="14"/>
  <c r="A14" i="14"/>
  <c r="Q59" i="12"/>
  <c r="R58" i="12"/>
  <c r="Q58" i="12"/>
  <c r="R57" i="12"/>
  <c r="Q57" i="12"/>
  <c r="R56" i="12"/>
  <c r="Q56" i="12"/>
  <c r="R55" i="12"/>
  <c r="Q55" i="12"/>
  <c r="S49" i="12"/>
  <c r="Q49" i="12"/>
  <c r="S48" i="12"/>
  <c r="Q48" i="12"/>
  <c r="S47" i="12"/>
  <c r="R47" i="12"/>
  <c r="Q47" i="12"/>
  <c r="S46" i="12"/>
  <c r="R46" i="12"/>
  <c r="Q46" i="12"/>
  <c r="S45" i="12"/>
  <c r="R45" i="12"/>
  <c r="Q45" i="12"/>
  <c r="S44" i="12"/>
  <c r="R44" i="12"/>
  <c r="Q44" i="12"/>
  <c r="B14" i="12"/>
  <c r="A14" i="12"/>
  <c r="Q59" i="11"/>
  <c r="R58" i="11"/>
  <c r="Q58" i="11"/>
  <c r="R57" i="11"/>
  <c r="Q57" i="11"/>
  <c r="R56" i="11"/>
  <c r="Q56" i="11"/>
  <c r="R55" i="11"/>
  <c r="Q55" i="11"/>
  <c r="S49" i="11"/>
  <c r="Q49" i="11"/>
  <c r="S48" i="11"/>
  <c r="S59" i="11" s="1"/>
  <c r="Q48" i="11"/>
  <c r="S47" i="11"/>
  <c r="R47" i="11"/>
  <c r="Q47" i="11"/>
  <c r="S46" i="11"/>
  <c r="R46" i="11"/>
  <c r="Q46" i="11"/>
  <c r="S45" i="11"/>
  <c r="S56" i="11" s="1"/>
  <c r="R45" i="11"/>
  <c r="Q45" i="11"/>
  <c r="S44" i="11"/>
  <c r="R44" i="11"/>
  <c r="Q44" i="11"/>
  <c r="B14" i="11"/>
  <c r="A14" i="11"/>
  <c r="E56" i="10"/>
  <c r="Q59" i="10"/>
  <c r="R58" i="10"/>
  <c r="Q58" i="10"/>
  <c r="R57" i="10"/>
  <c r="Q57" i="10"/>
  <c r="R56" i="10"/>
  <c r="Q56" i="10"/>
  <c r="R55" i="10"/>
  <c r="Q55" i="10"/>
  <c r="S49" i="10"/>
  <c r="Q49" i="10"/>
  <c r="S48" i="10"/>
  <c r="Q48" i="10"/>
  <c r="S47" i="10"/>
  <c r="R47" i="10"/>
  <c r="Q47" i="10"/>
  <c r="S46" i="10"/>
  <c r="R46" i="10"/>
  <c r="Q46" i="10"/>
  <c r="S45" i="10"/>
  <c r="R45" i="10"/>
  <c r="Q45" i="10"/>
  <c r="S44" i="10"/>
  <c r="R44" i="10"/>
  <c r="Q44" i="10"/>
  <c r="B14" i="10"/>
  <c r="A14" i="10"/>
  <c r="Q59" i="9"/>
  <c r="R58" i="9"/>
  <c r="Q58" i="9"/>
  <c r="R57" i="9"/>
  <c r="Q57" i="9"/>
  <c r="R56" i="9"/>
  <c r="Q56" i="9"/>
  <c r="R55" i="9"/>
  <c r="Q55" i="9"/>
  <c r="S49" i="9"/>
  <c r="Q49" i="9"/>
  <c r="S48" i="9"/>
  <c r="Q48" i="9"/>
  <c r="S47" i="9"/>
  <c r="R47" i="9"/>
  <c r="Q47" i="9"/>
  <c r="S46" i="9"/>
  <c r="R46" i="9"/>
  <c r="Q46" i="9"/>
  <c r="S45" i="9"/>
  <c r="R45" i="9"/>
  <c r="Q45" i="9"/>
  <c r="S44" i="9"/>
  <c r="R44" i="9"/>
  <c r="Q44" i="9"/>
  <c r="B14" i="9"/>
  <c r="A14" i="9"/>
  <c r="Q59" i="8"/>
  <c r="R58" i="8"/>
  <c r="Q58" i="8"/>
  <c r="R57" i="8"/>
  <c r="Q57" i="8"/>
  <c r="R56" i="8"/>
  <c r="Q56" i="8"/>
  <c r="R55" i="8"/>
  <c r="Q55" i="8"/>
  <c r="S49" i="8"/>
  <c r="Q49" i="8"/>
  <c r="S48" i="8"/>
  <c r="Q48" i="8"/>
  <c r="S47" i="8"/>
  <c r="R47" i="8"/>
  <c r="Q47" i="8"/>
  <c r="S46" i="8"/>
  <c r="R46" i="8"/>
  <c r="Q46" i="8"/>
  <c r="S45" i="8"/>
  <c r="R45" i="8"/>
  <c r="Q45" i="8"/>
  <c r="S44" i="8"/>
  <c r="R44" i="8"/>
  <c r="Q44" i="8"/>
  <c r="B14" i="8"/>
  <c r="A14" i="8"/>
  <c r="Q59" i="7"/>
  <c r="R58" i="7"/>
  <c r="Q58" i="7"/>
  <c r="R57" i="7"/>
  <c r="Q57" i="7"/>
  <c r="R56" i="7"/>
  <c r="Q56" i="7"/>
  <c r="R55" i="7"/>
  <c r="Q55" i="7"/>
  <c r="S49" i="7"/>
  <c r="Q49" i="7"/>
  <c r="S48" i="7"/>
  <c r="Q48" i="7"/>
  <c r="S47" i="7"/>
  <c r="R47" i="7"/>
  <c r="Q47" i="7"/>
  <c r="S46" i="7"/>
  <c r="R46" i="7"/>
  <c r="Q46" i="7"/>
  <c r="S45" i="7"/>
  <c r="R45" i="7"/>
  <c r="Q45" i="7"/>
  <c r="S44" i="7"/>
  <c r="R44" i="7"/>
  <c r="Q44" i="7"/>
  <c r="B14" i="7"/>
  <c r="A14" i="7"/>
  <c r="D12" i="19"/>
  <c r="B12" i="18"/>
  <c r="A12" i="18"/>
  <c r="E12" i="16"/>
  <c r="D12" i="15"/>
  <c r="B12" i="13"/>
  <c r="A12" i="13"/>
  <c r="H12" i="12"/>
  <c r="E12" i="12"/>
  <c r="D12" i="11"/>
  <c r="C12" i="11"/>
  <c r="B12" i="10"/>
  <c r="A12" i="10"/>
  <c r="H12" i="8"/>
  <c r="E12" i="8"/>
  <c r="D12" i="7"/>
  <c r="C12" i="7"/>
  <c r="G12" i="20"/>
  <c r="G9" i="20"/>
  <c r="I8" i="20"/>
  <c r="C12" i="20" s="1"/>
  <c r="G8" i="20"/>
  <c r="D12" i="20" s="1"/>
  <c r="A16" i="19"/>
  <c r="G12" i="19"/>
  <c r="G9" i="19"/>
  <c r="I8" i="19"/>
  <c r="C12" i="19" s="1"/>
  <c r="G8" i="19"/>
  <c r="B12" i="19" s="1"/>
  <c r="G12" i="18"/>
  <c r="G9" i="18"/>
  <c r="I8" i="18"/>
  <c r="C12" i="18" s="1"/>
  <c r="G8" i="18"/>
  <c r="H12" i="18" s="1"/>
  <c r="G12" i="17"/>
  <c r="G9" i="17"/>
  <c r="I8" i="17"/>
  <c r="C12" i="17" s="1"/>
  <c r="G8" i="17"/>
  <c r="H12" i="17" s="1"/>
  <c r="C56" i="16"/>
  <c r="G12" i="16"/>
  <c r="G9" i="16"/>
  <c r="I8" i="16"/>
  <c r="C12" i="16" s="1"/>
  <c r="G8" i="16"/>
  <c r="D12" i="16" s="1"/>
  <c r="G12" i="15"/>
  <c r="G9" i="15"/>
  <c r="I8" i="15"/>
  <c r="C12" i="15" s="1"/>
  <c r="G8" i="15"/>
  <c r="B12" i="15" s="1"/>
  <c r="G12" i="13"/>
  <c r="G9" i="13"/>
  <c r="I8" i="13"/>
  <c r="C12" i="13" s="1"/>
  <c r="G8" i="13"/>
  <c r="H12" i="13" s="1"/>
  <c r="G12" i="14"/>
  <c r="G9" i="14"/>
  <c r="I8" i="14"/>
  <c r="C12" i="14" s="1"/>
  <c r="G8" i="14"/>
  <c r="H12" i="14" s="1"/>
  <c r="G12" i="12"/>
  <c r="G9" i="12"/>
  <c r="I8" i="12"/>
  <c r="C12" i="12" s="1"/>
  <c r="G8" i="12"/>
  <c r="D12" i="12" s="1"/>
  <c r="G12" i="11"/>
  <c r="G9" i="11"/>
  <c r="I8" i="11"/>
  <c r="G8" i="11"/>
  <c r="B12" i="11" s="1"/>
  <c r="C56" i="10"/>
  <c r="G12" i="10"/>
  <c r="G9" i="10"/>
  <c r="I8" i="10"/>
  <c r="C12" i="10" s="1"/>
  <c r="G8" i="10"/>
  <c r="H12" i="10" s="1"/>
  <c r="C56" i="9"/>
  <c r="E56" i="9" s="1"/>
  <c r="G12" i="9"/>
  <c r="G9" i="9"/>
  <c r="I8" i="9"/>
  <c r="C12" i="9" s="1"/>
  <c r="G8" i="9"/>
  <c r="H12" i="9" s="1"/>
  <c r="C56" i="8"/>
  <c r="E56" i="8" s="1"/>
  <c r="G12" i="8"/>
  <c r="G9" i="8"/>
  <c r="I8" i="8"/>
  <c r="C12" i="8" s="1"/>
  <c r="G8" i="8"/>
  <c r="D12" i="8" s="1"/>
  <c r="D16" i="7"/>
  <c r="D16" i="8" s="1"/>
  <c r="D16" i="9" s="1"/>
  <c r="D16" i="10" s="1"/>
  <c r="D16" i="11" s="1"/>
  <c r="D16" i="12" s="1"/>
  <c r="D16" i="13" s="1"/>
  <c r="D16" i="15" s="1"/>
  <c r="D16" i="16" s="1"/>
  <c r="D16" i="17" s="1"/>
  <c r="D16" i="18" s="1"/>
  <c r="D16" i="20" s="1"/>
  <c r="A16" i="7"/>
  <c r="A16" i="8" s="1"/>
  <c r="A16" i="9" s="1"/>
  <c r="A16" i="10" s="1"/>
  <c r="A16" i="11" s="1"/>
  <c r="A16" i="12" s="1"/>
  <c r="A16" i="13" s="1"/>
  <c r="A16" i="15" s="1"/>
  <c r="A16" i="16" s="1"/>
  <c r="A16" i="17" s="1"/>
  <c r="A16" i="18" s="1"/>
  <c r="A16" i="20" s="1"/>
  <c r="G12" i="7"/>
  <c r="G9" i="7"/>
  <c r="I8" i="7"/>
  <c r="G8" i="7"/>
  <c r="B12" i="7" s="1"/>
  <c r="AA19" i="22"/>
  <c r="Z19" i="22"/>
  <c r="Y19" i="22"/>
  <c r="X19" i="22"/>
  <c r="W19" i="22"/>
  <c r="V19" i="22"/>
  <c r="U19" i="22"/>
  <c r="T19" i="22"/>
  <c r="S19" i="22"/>
  <c r="R19" i="22"/>
  <c r="Q19" i="22"/>
  <c r="P19" i="22"/>
  <c r="O19" i="22"/>
  <c r="N19" i="22"/>
  <c r="M19" i="22"/>
  <c r="L19" i="22"/>
  <c r="K19" i="22"/>
  <c r="J19" i="22"/>
  <c r="I19" i="22"/>
  <c r="H19" i="22"/>
  <c r="G19" i="22"/>
  <c r="F19" i="22"/>
  <c r="E19" i="22"/>
  <c r="D19" i="22"/>
  <c r="C19" i="22"/>
  <c r="B19" i="22"/>
  <c r="A19" i="22"/>
  <c r="AA18" i="22"/>
  <c r="Z18" i="22"/>
  <c r="Y18" i="22"/>
  <c r="X18" i="22"/>
  <c r="W18" i="22"/>
  <c r="V18" i="22"/>
  <c r="U18" i="22"/>
  <c r="T18" i="22"/>
  <c r="S18" i="22"/>
  <c r="R18" i="22"/>
  <c r="Q18" i="22"/>
  <c r="P18" i="22"/>
  <c r="O18" i="22"/>
  <c r="N18" i="22"/>
  <c r="M18" i="22"/>
  <c r="L18" i="22"/>
  <c r="K18" i="22"/>
  <c r="J18" i="22"/>
  <c r="I18" i="22"/>
  <c r="H18" i="22"/>
  <c r="G18" i="22"/>
  <c r="F18" i="22"/>
  <c r="E18" i="22"/>
  <c r="D18" i="22"/>
  <c r="C18" i="22"/>
  <c r="B18" i="22"/>
  <c r="A18" i="22"/>
  <c r="AA17" i="22"/>
  <c r="Z17" i="22"/>
  <c r="Y17" i="22"/>
  <c r="X17" i="22"/>
  <c r="W17" i="22"/>
  <c r="V17" i="22"/>
  <c r="U17" i="22"/>
  <c r="T17" i="22"/>
  <c r="S17" i="22"/>
  <c r="R17" i="22"/>
  <c r="Q17" i="22"/>
  <c r="P17" i="22"/>
  <c r="O17" i="22"/>
  <c r="N17" i="22"/>
  <c r="M17" i="22"/>
  <c r="L17" i="22"/>
  <c r="K17" i="22"/>
  <c r="J17" i="22"/>
  <c r="I17" i="22"/>
  <c r="H17" i="22"/>
  <c r="G17" i="22"/>
  <c r="F17" i="22"/>
  <c r="E17" i="22"/>
  <c r="D17" i="22"/>
  <c r="C17" i="22"/>
  <c r="B17" i="22"/>
  <c r="A17" i="22"/>
  <c r="AA16" i="22"/>
  <c r="Z16" i="22"/>
  <c r="Y16" i="22"/>
  <c r="X16" i="22"/>
  <c r="W16" i="22"/>
  <c r="V16" i="22"/>
  <c r="U16" i="22"/>
  <c r="T16" i="22"/>
  <c r="S16" i="22"/>
  <c r="R16" i="22"/>
  <c r="Q16" i="22"/>
  <c r="P16" i="22"/>
  <c r="O16" i="22"/>
  <c r="N16" i="22"/>
  <c r="M16" i="22"/>
  <c r="L16" i="22"/>
  <c r="K16" i="22"/>
  <c r="J16" i="22"/>
  <c r="I16" i="22"/>
  <c r="H16" i="22"/>
  <c r="G16" i="22"/>
  <c r="F16" i="22"/>
  <c r="E16" i="22"/>
  <c r="D16" i="22"/>
  <c r="C16" i="22"/>
  <c r="B16" i="22"/>
  <c r="A16" i="22"/>
  <c r="AA15" i="22"/>
  <c r="Z15" i="22"/>
  <c r="Y15" i="22"/>
  <c r="X15" i="22"/>
  <c r="W15" i="22"/>
  <c r="V15" i="22"/>
  <c r="U15" i="22"/>
  <c r="T15" i="22"/>
  <c r="S15" i="22"/>
  <c r="R15" i="22"/>
  <c r="Q15" i="22"/>
  <c r="P15" i="22"/>
  <c r="O15" i="22"/>
  <c r="N15" i="22"/>
  <c r="M15" i="22"/>
  <c r="L15" i="22"/>
  <c r="K15" i="22"/>
  <c r="J15" i="22"/>
  <c r="I15" i="22"/>
  <c r="H15" i="22"/>
  <c r="G15" i="22"/>
  <c r="F15" i="22"/>
  <c r="E15" i="22"/>
  <c r="D15" i="22"/>
  <c r="C15" i="22"/>
  <c r="B15" i="22"/>
  <c r="A15" i="22"/>
  <c r="AA14" i="22"/>
  <c r="Z14" i="22"/>
  <c r="Y14" i="22"/>
  <c r="X14" i="22"/>
  <c r="W14" i="22"/>
  <c r="V14" i="22"/>
  <c r="U14" i="22"/>
  <c r="T14" i="22"/>
  <c r="S14" i="22"/>
  <c r="R14" i="22"/>
  <c r="Q14" i="22"/>
  <c r="P14" i="22"/>
  <c r="O14" i="22"/>
  <c r="N14" i="22"/>
  <c r="M14" i="22"/>
  <c r="L14" i="22"/>
  <c r="K14" i="22"/>
  <c r="J14" i="22"/>
  <c r="I14" i="22"/>
  <c r="H14" i="22"/>
  <c r="G14" i="22"/>
  <c r="F14" i="22"/>
  <c r="E14" i="22"/>
  <c r="D14" i="22"/>
  <c r="C14" i="22"/>
  <c r="B14" i="22"/>
  <c r="A14" i="22"/>
  <c r="AA13" i="22"/>
  <c r="Z13" i="22"/>
  <c r="Y13" i="22"/>
  <c r="X13" i="22"/>
  <c r="W13" i="22"/>
  <c r="V13" i="22"/>
  <c r="U13" i="22"/>
  <c r="T13" i="22"/>
  <c r="S13" i="22"/>
  <c r="R13" i="22"/>
  <c r="Q13" i="22"/>
  <c r="P13" i="22"/>
  <c r="O13" i="22"/>
  <c r="N13" i="22"/>
  <c r="M13" i="22"/>
  <c r="L13" i="22"/>
  <c r="K13" i="22"/>
  <c r="J13" i="22"/>
  <c r="I13" i="22"/>
  <c r="H13" i="22"/>
  <c r="G13" i="22"/>
  <c r="F13" i="22"/>
  <c r="E13" i="22"/>
  <c r="D13" i="22"/>
  <c r="C13" i="22"/>
  <c r="B13" i="22"/>
  <c r="A13" i="22"/>
  <c r="AA12" i="22"/>
  <c r="Z12" i="22"/>
  <c r="Y12" i="22"/>
  <c r="X12" i="22"/>
  <c r="W12" i="22"/>
  <c r="V12" i="22"/>
  <c r="U12" i="22"/>
  <c r="T12" i="22"/>
  <c r="S12" i="22"/>
  <c r="R12" i="22"/>
  <c r="Q12" i="22"/>
  <c r="P12" i="22"/>
  <c r="O12" i="22"/>
  <c r="N12" i="22"/>
  <c r="M12" i="22"/>
  <c r="L12" i="22"/>
  <c r="K12" i="22"/>
  <c r="J12" i="22"/>
  <c r="I12" i="22"/>
  <c r="H12" i="22"/>
  <c r="G12" i="22"/>
  <c r="F12" i="22"/>
  <c r="E12" i="22"/>
  <c r="D12" i="22"/>
  <c r="C12" i="22"/>
  <c r="B12" i="22"/>
  <c r="A12" i="22"/>
  <c r="AA11" i="22"/>
  <c r="Z11" i="22"/>
  <c r="Y11" i="22"/>
  <c r="X11" i="22"/>
  <c r="W11" i="22"/>
  <c r="V11" i="22"/>
  <c r="U11" i="22"/>
  <c r="T11" i="22"/>
  <c r="S11" i="22"/>
  <c r="R11" i="22"/>
  <c r="Q11" i="22"/>
  <c r="P11" i="22"/>
  <c r="O11" i="22"/>
  <c r="N11" i="22"/>
  <c r="M11" i="22"/>
  <c r="L11" i="22"/>
  <c r="K11" i="22"/>
  <c r="J11" i="22"/>
  <c r="I11" i="22"/>
  <c r="H11" i="22"/>
  <c r="G11" i="22"/>
  <c r="F11" i="22"/>
  <c r="E11" i="22"/>
  <c r="D11" i="22"/>
  <c r="C11" i="22"/>
  <c r="B11" i="22"/>
  <c r="A11" i="22"/>
  <c r="AA10" i="22"/>
  <c r="Z10" i="22"/>
  <c r="Y10" i="22"/>
  <c r="X10" i="22"/>
  <c r="W10" i="22"/>
  <c r="V10" i="22"/>
  <c r="U10" i="22"/>
  <c r="T10" i="22"/>
  <c r="S10" i="22"/>
  <c r="R10" i="22"/>
  <c r="Q10" i="22"/>
  <c r="P10" i="22"/>
  <c r="O10" i="22"/>
  <c r="N10" i="22"/>
  <c r="M10" i="22"/>
  <c r="L10" i="22"/>
  <c r="K10" i="22"/>
  <c r="J10" i="22"/>
  <c r="I10" i="22"/>
  <c r="H10" i="22"/>
  <c r="G10" i="22"/>
  <c r="F10" i="22"/>
  <c r="E10" i="22"/>
  <c r="D10" i="22"/>
  <c r="C10" i="22"/>
  <c r="B10" i="22"/>
  <c r="A10" i="22"/>
  <c r="AA9" i="22"/>
  <c r="Z9" i="22"/>
  <c r="Y9" i="22"/>
  <c r="X9" i="22"/>
  <c r="W9" i="22"/>
  <c r="V9" i="22"/>
  <c r="U9" i="22"/>
  <c r="T9" i="22"/>
  <c r="S9" i="22"/>
  <c r="R9" i="22"/>
  <c r="Q9" i="22"/>
  <c r="P9" i="22"/>
  <c r="O9" i="22"/>
  <c r="N9" i="22"/>
  <c r="M9" i="22"/>
  <c r="L9" i="22"/>
  <c r="K9" i="22"/>
  <c r="J9" i="22"/>
  <c r="I9" i="22"/>
  <c r="H9" i="22"/>
  <c r="G9" i="22"/>
  <c r="F9" i="22"/>
  <c r="E9" i="22"/>
  <c r="D9" i="22"/>
  <c r="C9" i="22"/>
  <c r="B9" i="22"/>
  <c r="A9" i="22"/>
  <c r="AA8" i="22"/>
  <c r="Z8" i="22"/>
  <c r="Y8" i="22"/>
  <c r="X8" i="22"/>
  <c r="W8" i="22"/>
  <c r="V8" i="22"/>
  <c r="U8" i="22"/>
  <c r="T8" i="22"/>
  <c r="S8" i="22"/>
  <c r="R8" i="22"/>
  <c r="Q8" i="22"/>
  <c r="P8" i="22"/>
  <c r="O8" i="22"/>
  <c r="N8" i="22"/>
  <c r="M8" i="22"/>
  <c r="L8" i="22"/>
  <c r="K8" i="22"/>
  <c r="J8" i="22"/>
  <c r="I8" i="22"/>
  <c r="H8" i="22"/>
  <c r="G8" i="22"/>
  <c r="F8" i="22"/>
  <c r="E8" i="22"/>
  <c r="D8" i="22"/>
  <c r="C8" i="22"/>
  <c r="B8" i="22"/>
  <c r="A8" i="22"/>
  <c r="AA7" i="22"/>
  <c r="Z7" i="22"/>
  <c r="Y7" i="22"/>
  <c r="X7" i="22"/>
  <c r="W7" i="22"/>
  <c r="V7" i="22"/>
  <c r="U7" i="22"/>
  <c r="T7" i="22"/>
  <c r="S7" i="22"/>
  <c r="R7" i="22"/>
  <c r="Q7" i="22"/>
  <c r="P7" i="22"/>
  <c r="O7" i="22"/>
  <c r="N7" i="22"/>
  <c r="M7" i="22"/>
  <c r="L7" i="22"/>
  <c r="K7" i="22"/>
  <c r="J7" i="22"/>
  <c r="I7" i="22"/>
  <c r="H7" i="22"/>
  <c r="G7" i="22"/>
  <c r="F7" i="22"/>
  <c r="E7" i="22"/>
  <c r="D7" i="22"/>
  <c r="C7" i="22"/>
  <c r="B7" i="22"/>
  <c r="A7" i="22"/>
  <c r="AA6" i="22"/>
  <c r="Z6" i="22"/>
  <c r="Y6" i="22"/>
  <c r="X6" i="22"/>
  <c r="W6" i="22"/>
  <c r="V6" i="22"/>
  <c r="U6" i="22"/>
  <c r="T6" i="22"/>
  <c r="S6" i="22"/>
  <c r="R6" i="22"/>
  <c r="Q6" i="22"/>
  <c r="P6" i="22"/>
  <c r="O6" i="22"/>
  <c r="N6" i="22"/>
  <c r="M6" i="22"/>
  <c r="L6" i="22"/>
  <c r="K6" i="22"/>
  <c r="J6" i="22"/>
  <c r="I6" i="22"/>
  <c r="H6" i="22"/>
  <c r="G6" i="22"/>
  <c r="F6" i="22"/>
  <c r="E6" i="22"/>
  <c r="D6" i="22"/>
  <c r="C6" i="22"/>
  <c r="B6" i="22"/>
  <c r="A6" i="22"/>
  <c r="AA5" i="22"/>
  <c r="Z5" i="22"/>
  <c r="Y5" i="22"/>
  <c r="X5" i="22"/>
  <c r="W5" i="22"/>
  <c r="V5" i="22"/>
  <c r="U5" i="22"/>
  <c r="T5" i="22"/>
  <c r="S5" i="22"/>
  <c r="R5" i="22"/>
  <c r="Q5" i="22"/>
  <c r="P5" i="22"/>
  <c r="O5" i="22"/>
  <c r="N5" i="22"/>
  <c r="M5" i="22"/>
  <c r="L5" i="22"/>
  <c r="K5" i="22"/>
  <c r="J5" i="22"/>
  <c r="I5" i="22"/>
  <c r="H5" i="22"/>
  <c r="G5" i="22"/>
  <c r="F5" i="22"/>
  <c r="E5" i="22"/>
  <c r="D5" i="22"/>
  <c r="C5" i="22"/>
  <c r="B5" i="22"/>
  <c r="A5" i="22"/>
  <c r="T3" i="22"/>
  <c r="S3" i="22"/>
  <c r="R3" i="22"/>
  <c r="Q3" i="22"/>
  <c r="P3" i="22"/>
  <c r="O3" i="22"/>
  <c r="N3" i="22"/>
  <c r="M3" i="22"/>
  <c r="L3" i="22"/>
  <c r="K3" i="22"/>
  <c r="J3" i="22"/>
  <c r="I3" i="22"/>
  <c r="H3" i="22"/>
  <c r="G3" i="22"/>
  <c r="F3" i="22"/>
  <c r="E3" i="22"/>
  <c r="D3" i="22"/>
  <c r="C3" i="22"/>
  <c r="B3" i="22"/>
  <c r="A3" i="22"/>
  <c r="H33" i="20"/>
  <c r="H32" i="20"/>
  <c r="H31" i="20"/>
  <c r="H30" i="20"/>
  <c r="C54" i="20"/>
  <c r="C56" i="20" s="1"/>
  <c r="E56" i="20" s="1"/>
  <c r="I7" i="20"/>
  <c r="G7" i="20"/>
  <c r="I6" i="20"/>
  <c r="G6" i="20"/>
  <c r="G5" i="20"/>
  <c r="G4" i="20"/>
  <c r="G3" i="20"/>
  <c r="H33" i="19"/>
  <c r="H32" i="19"/>
  <c r="H31" i="19"/>
  <c r="H30" i="19"/>
  <c r="C54" i="19"/>
  <c r="I7" i="19"/>
  <c r="G7" i="19"/>
  <c r="I6" i="19"/>
  <c r="G6" i="19"/>
  <c r="G5" i="19"/>
  <c r="G4" i="19"/>
  <c r="G3" i="19"/>
  <c r="H33" i="18"/>
  <c r="H32" i="18"/>
  <c r="H31" i="18"/>
  <c r="H30" i="18"/>
  <c r="C54" i="18"/>
  <c r="C56" i="18" s="1"/>
  <c r="E56" i="18" s="1"/>
  <c r="I7" i="18"/>
  <c r="G7" i="18"/>
  <c r="I6" i="18"/>
  <c r="G6" i="18"/>
  <c r="G5" i="18"/>
  <c r="G4" i="18"/>
  <c r="G3" i="18"/>
  <c r="H33" i="17"/>
  <c r="H32" i="17"/>
  <c r="H31" i="17"/>
  <c r="H30" i="17"/>
  <c r="C54" i="17"/>
  <c r="C56" i="17" s="1"/>
  <c r="E56" i="17" s="1"/>
  <c r="I7" i="17"/>
  <c r="G7" i="17"/>
  <c r="I6" i="17"/>
  <c r="G6" i="17"/>
  <c r="G5" i="17"/>
  <c r="G4" i="17"/>
  <c r="G3" i="17"/>
  <c r="H33" i="16"/>
  <c r="H32" i="16"/>
  <c r="H31" i="16"/>
  <c r="H30" i="16"/>
  <c r="C54" i="16"/>
  <c r="I7" i="16"/>
  <c r="G7" i="16"/>
  <c r="I6" i="16"/>
  <c r="G6" i="16"/>
  <c r="G5" i="16"/>
  <c r="G4" i="16"/>
  <c r="G3" i="16"/>
  <c r="H33" i="15"/>
  <c r="H32" i="15"/>
  <c r="H31" i="15"/>
  <c r="H30" i="15"/>
  <c r="C54" i="15"/>
  <c r="C56" i="15" s="1"/>
  <c r="E56" i="15" s="1"/>
  <c r="I7" i="15"/>
  <c r="G7" i="15"/>
  <c r="I6" i="15"/>
  <c r="G6" i="15"/>
  <c r="G5" i="15"/>
  <c r="G4" i="15"/>
  <c r="G3" i="15"/>
  <c r="H33" i="13"/>
  <c r="H32" i="13"/>
  <c r="H31" i="13"/>
  <c r="H30" i="13"/>
  <c r="C54" i="13"/>
  <c r="C56" i="13" s="1"/>
  <c r="E56" i="13" s="1"/>
  <c r="I7" i="13"/>
  <c r="G7" i="13"/>
  <c r="I6" i="13"/>
  <c r="G6" i="13"/>
  <c r="G5" i="13"/>
  <c r="G4" i="13"/>
  <c r="G3" i="13"/>
  <c r="H33" i="14"/>
  <c r="H32" i="14"/>
  <c r="H31" i="14"/>
  <c r="I7" i="14"/>
  <c r="G7" i="14"/>
  <c r="I6" i="14"/>
  <c r="G6" i="14"/>
  <c r="G5" i="14"/>
  <c r="G4" i="14"/>
  <c r="G3" i="14"/>
  <c r="H33" i="12"/>
  <c r="H32" i="12"/>
  <c r="H31" i="12"/>
  <c r="H30" i="12"/>
  <c r="C54" i="12"/>
  <c r="C56" i="12" s="1"/>
  <c r="E56" i="12" s="1"/>
  <c r="I7" i="12"/>
  <c r="G7" i="12"/>
  <c r="I6" i="12"/>
  <c r="G6" i="12"/>
  <c r="G5" i="12"/>
  <c r="G4" i="12"/>
  <c r="G3" i="12"/>
  <c r="H33" i="11"/>
  <c r="H32" i="11"/>
  <c r="H31" i="11"/>
  <c r="C54" i="11"/>
  <c r="C56" i="11" s="1"/>
  <c r="E56" i="11" s="1"/>
  <c r="I7" i="11"/>
  <c r="G7" i="11"/>
  <c r="I6" i="11"/>
  <c r="G6" i="11"/>
  <c r="G5" i="11"/>
  <c r="G4" i="11"/>
  <c r="G3" i="11"/>
  <c r="H33" i="10"/>
  <c r="H32" i="10"/>
  <c r="H31" i="10"/>
  <c r="H30" i="10"/>
  <c r="C54" i="10"/>
  <c r="I7" i="10"/>
  <c r="G7" i="10"/>
  <c r="I6" i="10"/>
  <c r="G6" i="10"/>
  <c r="G5" i="10"/>
  <c r="G4" i="10"/>
  <c r="G3" i="10"/>
  <c r="H33" i="9"/>
  <c r="H32" i="9"/>
  <c r="H31" i="9"/>
  <c r="H30" i="9"/>
  <c r="C54" i="9"/>
  <c r="I7" i="9"/>
  <c r="G7" i="9"/>
  <c r="I6" i="9"/>
  <c r="G6" i="9"/>
  <c r="G5" i="9"/>
  <c r="G4" i="9"/>
  <c r="G3" i="9"/>
  <c r="H33" i="8"/>
  <c r="H32" i="8"/>
  <c r="H31" i="8"/>
  <c r="H30" i="8"/>
  <c r="C54" i="8"/>
  <c r="I7" i="8"/>
  <c r="G7" i="8"/>
  <c r="I6" i="8"/>
  <c r="G6" i="8"/>
  <c r="G5" i="8"/>
  <c r="G4" i="8"/>
  <c r="G3" i="8"/>
  <c r="H33" i="7"/>
  <c r="H32" i="7"/>
  <c r="H31" i="7"/>
  <c r="H30" i="7"/>
  <c r="C54" i="7"/>
  <c r="C56" i="7" s="1"/>
  <c r="E56" i="7" s="1"/>
  <c r="I7" i="7"/>
  <c r="G7" i="7"/>
  <c r="I6" i="7"/>
  <c r="G6" i="7"/>
  <c r="G5" i="7"/>
  <c r="G4" i="7"/>
  <c r="G3" i="7"/>
  <c r="T9" i="20"/>
  <c r="B8" i="20"/>
  <c r="B7" i="20"/>
  <c r="B6" i="20"/>
  <c r="B5" i="20"/>
  <c r="B4" i="20"/>
  <c r="B3" i="20"/>
  <c r="J1" i="20"/>
  <c r="B8" i="19"/>
  <c r="B7" i="19"/>
  <c r="B6" i="19"/>
  <c r="B5" i="19"/>
  <c r="B4" i="19"/>
  <c r="B3" i="19"/>
  <c r="J1" i="19"/>
  <c r="T9" i="18"/>
  <c r="B8" i="18"/>
  <c r="B7" i="18"/>
  <c r="B6" i="18"/>
  <c r="B5" i="18"/>
  <c r="B4" i="18"/>
  <c r="B3" i="18"/>
  <c r="J1" i="18"/>
  <c r="T9" i="17"/>
  <c r="B8" i="17"/>
  <c r="B7" i="17"/>
  <c r="B6" i="17"/>
  <c r="B5" i="17"/>
  <c r="B4" i="17"/>
  <c r="B3" i="17"/>
  <c r="J1" i="17"/>
  <c r="T9" i="16"/>
  <c r="B8" i="16"/>
  <c r="B7" i="16"/>
  <c r="B6" i="16"/>
  <c r="B5" i="16"/>
  <c r="B4" i="16"/>
  <c r="B3" i="16"/>
  <c r="J1" i="16"/>
  <c r="T9" i="15"/>
  <c r="B8" i="15"/>
  <c r="B7" i="15"/>
  <c r="B6" i="15"/>
  <c r="B5" i="15"/>
  <c r="B4" i="15"/>
  <c r="B3" i="15"/>
  <c r="J1" i="15"/>
  <c r="T9" i="13"/>
  <c r="B8" i="13"/>
  <c r="B7" i="13"/>
  <c r="B6" i="13"/>
  <c r="B5" i="13"/>
  <c r="B4" i="13"/>
  <c r="B3" i="13"/>
  <c r="J1" i="13"/>
  <c r="B8" i="14"/>
  <c r="B7" i="14"/>
  <c r="B6" i="14"/>
  <c r="B5" i="14"/>
  <c r="B4" i="14"/>
  <c r="B3" i="14"/>
  <c r="J1" i="14"/>
  <c r="T9" i="12"/>
  <c r="B8" i="12"/>
  <c r="B7" i="12"/>
  <c r="B6" i="12"/>
  <c r="B5" i="12"/>
  <c r="B4" i="12"/>
  <c r="B3" i="12"/>
  <c r="J1" i="12"/>
  <c r="B8" i="11"/>
  <c r="B7" i="11"/>
  <c r="B6" i="11"/>
  <c r="B5" i="11"/>
  <c r="B4" i="11"/>
  <c r="B3" i="11"/>
  <c r="J1" i="11"/>
  <c r="T9" i="10"/>
  <c r="B8" i="10"/>
  <c r="B7" i="10"/>
  <c r="B6" i="10"/>
  <c r="B5" i="10"/>
  <c r="B4" i="10"/>
  <c r="B3" i="10"/>
  <c r="J1" i="10"/>
  <c r="T9" i="9"/>
  <c r="B8" i="9"/>
  <c r="B7" i="9"/>
  <c r="B6" i="9"/>
  <c r="B5" i="9"/>
  <c r="B4" i="9"/>
  <c r="B3" i="9"/>
  <c r="J1" i="9"/>
  <c r="T9" i="8"/>
  <c r="B8" i="8"/>
  <c r="B7" i="8"/>
  <c r="B6" i="8"/>
  <c r="B5" i="8"/>
  <c r="B4" i="8"/>
  <c r="B3" i="8"/>
  <c r="J1" i="8"/>
  <c r="T9" i="7"/>
  <c r="B8" i="7"/>
  <c r="B7" i="7"/>
  <c r="B6" i="7"/>
  <c r="B5" i="7"/>
  <c r="B4" i="7"/>
  <c r="B3" i="7"/>
  <c r="J1" i="7"/>
  <c r="S58" i="14"/>
  <c r="S57" i="14"/>
  <c r="S56" i="14"/>
  <c r="S55" i="14"/>
  <c r="S58" i="11"/>
  <c r="S57" i="11"/>
  <c r="S55" i="11"/>
  <c r="E12" i="20" l="1"/>
  <c r="H12" i="20"/>
  <c r="E12" i="7"/>
  <c r="A12" i="9"/>
  <c r="E12" i="11"/>
  <c r="A12" i="14"/>
  <c r="E12" i="15"/>
  <c r="A12" i="17"/>
  <c r="E12" i="19"/>
  <c r="H12" i="16"/>
  <c r="H12" i="7"/>
  <c r="B12" i="9"/>
  <c r="D12" i="10"/>
  <c r="H12" i="11"/>
  <c r="B12" i="14"/>
  <c r="D12" i="13"/>
  <c r="H12" i="15"/>
  <c r="B12" i="17"/>
  <c r="D12" i="18"/>
  <c r="H12" i="19"/>
  <c r="A12" i="8"/>
  <c r="E12" i="10"/>
  <c r="A12" i="12"/>
  <c r="E12" i="13"/>
  <c r="A12" i="16"/>
  <c r="E12" i="18"/>
  <c r="A12" i="20"/>
  <c r="B12" i="8"/>
  <c r="D12" i="9"/>
  <c r="B12" i="12"/>
  <c r="D12" i="14"/>
  <c r="B12" i="16"/>
  <c r="D12" i="17"/>
  <c r="B12" i="20"/>
  <c r="A12" i="7"/>
  <c r="E12" i="9"/>
  <c r="A12" i="11"/>
  <c r="E12" i="14"/>
  <c r="A12" i="15"/>
  <c r="E12" i="17"/>
  <c r="A12" i="19"/>
  <c r="O50" i="7"/>
  <c r="O50" i="8"/>
  <c r="O50" i="9"/>
  <c r="O50" i="10"/>
  <c r="O50" i="11"/>
  <c r="O50" i="12"/>
  <c r="O50" i="14"/>
  <c r="O50" i="13"/>
  <c r="O50" i="15"/>
  <c r="O50" i="16"/>
  <c r="O50" i="17"/>
  <c r="O50" i="18"/>
  <c r="O50" i="19"/>
  <c r="O50" i="20"/>
  <c r="L50" i="8" l="1"/>
  <c r="L50" i="9"/>
  <c r="L50" i="10"/>
  <c r="L50" i="11"/>
  <c r="L50" i="12"/>
  <c r="L50" i="14"/>
  <c r="L50" i="13"/>
  <c r="L50" i="15"/>
  <c r="L50" i="16"/>
  <c r="L50" i="17"/>
  <c r="L50" i="18"/>
  <c r="L50" i="19"/>
  <c r="L50" i="20"/>
  <c r="L50" i="7"/>
  <c r="E14" i="8" l="1"/>
  <c r="E14" i="9"/>
  <c r="E14" i="10"/>
  <c r="E14" i="11"/>
  <c r="E14" i="12"/>
  <c r="E14" i="13"/>
  <c r="E14" i="15"/>
  <c r="E14" i="16"/>
  <c r="E14" i="17"/>
  <c r="E14" i="18"/>
  <c r="E14" i="20"/>
  <c r="E14" i="7"/>
  <c r="H28" i="17" l="1"/>
  <c r="I28" i="17" s="1"/>
  <c r="H27" i="17"/>
  <c r="I27" i="17" s="1"/>
  <c r="H26" i="17"/>
  <c r="I26" i="17" s="1"/>
  <c r="H25" i="17"/>
  <c r="I25" i="17" s="1"/>
  <c r="H24" i="17"/>
  <c r="I47" i="7" l="1"/>
  <c r="I47" i="8"/>
  <c r="I47" i="9"/>
  <c r="I47" i="10"/>
  <c r="I47" i="11"/>
  <c r="I47" i="12"/>
  <c r="I47" i="13"/>
  <c r="I47" i="15"/>
  <c r="I47" i="17"/>
  <c r="I47" i="18"/>
  <c r="I47" i="20"/>
  <c r="I47" i="16"/>
  <c r="I44" i="20"/>
  <c r="H28" i="20"/>
  <c r="I28" i="20" s="1"/>
  <c r="I56" i="20" l="1"/>
  <c r="I56" i="18"/>
  <c r="I56" i="17"/>
  <c r="I56" i="16"/>
  <c r="I56" i="15"/>
  <c r="I56" i="13"/>
  <c r="I56" i="12"/>
  <c r="I56" i="11"/>
  <c r="I56" i="10"/>
  <c r="I56" i="9"/>
  <c r="I56" i="8"/>
  <c r="I56" i="7"/>
  <c r="G28" i="20" l="1"/>
  <c r="G25" i="17"/>
  <c r="G20" i="17"/>
  <c r="G23" i="17"/>
  <c r="G22" i="17"/>
  <c r="G26" i="17"/>
  <c r="G27" i="17"/>
  <c r="G19" i="17"/>
  <c r="G21" i="17"/>
  <c r="G28" i="17"/>
  <c r="G24" i="20"/>
  <c r="G27" i="18"/>
  <c r="G21" i="16"/>
  <c r="G21" i="15"/>
  <c r="G19" i="13"/>
  <c r="G28" i="10"/>
  <c r="G21" i="10"/>
  <c r="G26" i="9"/>
  <c r="G28" i="8"/>
  <c r="S59" i="20"/>
  <c r="S58" i="20"/>
  <c r="U56" i="19"/>
  <c r="S59" i="19"/>
  <c r="S58" i="19"/>
  <c r="S55" i="19"/>
  <c r="T55" i="19" s="1"/>
  <c r="S59" i="18"/>
  <c r="S58" i="18"/>
  <c r="S56" i="18"/>
  <c r="S58" i="15"/>
  <c r="S57" i="15"/>
  <c r="T44" i="15"/>
  <c r="T45" i="15" s="1"/>
  <c r="S59" i="13"/>
  <c r="S58" i="13"/>
  <c r="T44" i="13"/>
  <c r="S59" i="12"/>
  <c r="S57" i="12"/>
  <c r="S55" i="12"/>
  <c r="T55" i="12" s="1"/>
  <c r="T44" i="12"/>
  <c r="T45" i="12" s="1"/>
  <c r="T46" i="12" s="1"/>
  <c r="S58" i="10"/>
  <c r="T44" i="10"/>
  <c r="T45" i="10" s="1"/>
  <c r="S59" i="9"/>
  <c r="S57" i="9"/>
  <c r="S59" i="8"/>
  <c r="S58" i="8"/>
  <c r="S56" i="8"/>
  <c r="T44" i="8"/>
  <c r="T45" i="8" s="1"/>
  <c r="S57" i="7"/>
  <c r="T44" i="7"/>
  <c r="T45" i="7" s="1"/>
  <c r="T46" i="7" s="1"/>
  <c r="A1" i="21"/>
  <c r="A69" i="21" s="1"/>
  <c r="I44" i="7"/>
  <c r="I44" i="11"/>
  <c r="C42" i="23"/>
  <c r="C43" i="23"/>
  <c r="C44" i="23"/>
  <c r="C45" i="23"/>
  <c r="C46" i="23"/>
  <c r="N49" i="23"/>
  <c r="C55" i="23"/>
  <c r="B21" i="21"/>
  <c r="J21" i="21"/>
  <c r="L21" i="21"/>
  <c r="B27" i="21"/>
  <c r="J27" i="21"/>
  <c r="L27" i="21"/>
  <c r="H35" i="21"/>
  <c r="I51" i="21"/>
  <c r="M51" i="21"/>
  <c r="H69" i="21"/>
  <c r="O82" i="21"/>
  <c r="O88" i="21"/>
  <c r="B100" i="21"/>
  <c r="B106" i="21"/>
  <c r="D108" i="21"/>
  <c r="C10" i="23"/>
  <c r="H25" i="20"/>
  <c r="I25" i="20" s="1"/>
  <c r="H26" i="20"/>
  <c r="I26" i="20" s="1"/>
  <c r="H27" i="20"/>
  <c r="I27" i="20" s="1"/>
  <c r="I35" i="20"/>
  <c r="I36" i="20"/>
  <c r="S55" i="20"/>
  <c r="T55" i="20" s="1"/>
  <c r="K50" i="20"/>
  <c r="G14" i="20" s="1"/>
  <c r="M50" i="20"/>
  <c r="B16" i="20" s="1"/>
  <c r="E16" i="20"/>
  <c r="I55" i="20"/>
  <c r="H20" i="19"/>
  <c r="I20" i="19" s="1"/>
  <c r="H21" i="19"/>
  <c r="I21" i="19" s="1"/>
  <c r="H22" i="19"/>
  <c r="I22" i="19" s="1"/>
  <c r="H23" i="19"/>
  <c r="I23" i="19" s="1"/>
  <c r="H24" i="19"/>
  <c r="I24" i="19" s="1"/>
  <c r="H25" i="19"/>
  <c r="I25" i="19" s="1"/>
  <c r="H26" i="19"/>
  <c r="I26" i="19" s="1"/>
  <c r="H27" i="19"/>
  <c r="I27" i="19" s="1"/>
  <c r="H28" i="19"/>
  <c r="I28" i="19" s="1"/>
  <c r="I35" i="19"/>
  <c r="I36" i="19"/>
  <c r="S56" i="19"/>
  <c r="S57" i="19"/>
  <c r="C49" i="19"/>
  <c r="D49" i="19" s="1"/>
  <c r="K50" i="19"/>
  <c r="M50" i="19"/>
  <c r="N50" i="19"/>
  <c r="I52" i="19"/>
  <c r="E54" i="19"/>
  <c r="I54" i="19" s="1"/>
  <c r="I55" i="19"/>
  <c r="I56" i="19"/>
  <c r="H22" i="18"/>
  <c r="I22" i="18" s="1"/>
  <c r="H23" i="18"/>
  <c r="I23" i="18" s="1"/>
  <c r="H24" i="18"/>
  <c r="I24" i="18" s="1"/>
  <c r="H25" i="18"/>
  <c r="I25" i="18" s="1"/>
  <c r="H26" i="18"/>
  <c r="I26" i="18" s="1"/>
  <c r="H27" i="18"/>
  <c r="I27" i="18" s="1"/>
  <c r="H28" i="18"/>
  <c r="I28" i="18" s="1"/>
  <c r="I35" i="18"/>
  <c r="I36" i="18"/>
  <c r="T44" i="18"/>
  <c r="T45" i="18" s="1"/>
  <c r="S57" i="18"/>
  <c r="K50" i="18"/>
  <c r="G14" i="18" s="1"/>
  <c r="M50" i="18"/>
  <c r="B16" i="18" s="1"/>
  <c r="N50" i="18"/>
  <c r="E16" i="18" s="1"/>
  <c r="I55" i="18"/>
  <c r="I36" i="17"/>
  <c r="I44" i="17"/>
  <c r="S56" i="17"/>
  <c r="S58" i="17"/>
  <c r="S59" i="17"/>
  <c r="K50" i="17"/>
  <c r="G14" i="17" s="1"/>
  <c r="M50" i="17"/>
  <c r="B16" i="17" s="1"/>
  <c r="N50" i="17"/>
  <c r="E16" i="17" s="1"/>
  <c r="I55" i="17"/>
  <c r="H25" i="16"/>
  <c r="H26" i="16"/>
  <c r="I26" i="16" s="1"/>
  <c r="H27" i="16"/>
  <c r="I27" i="16" s="1"/>
  <c r="H28" i="16"/>
  <c r="I28" i="16" s="1"/>
  <c r="I36" i="16"/>
  <c r="T44" i="16"/>
  <c r="T45" i="16" s="1"/>
  <c r="S57" i="16"/>
  <c r="S59" i="16"/>
  <c r="K50" i="16"/>
  <c r="G14" i="16" s="1"/>
  <c r="M50" i="16"/>
  <c r="B16" i="16" s="1"/>
  <c r="N50" i="16"/>
  <c r="E16" i="16" s="1"/>
  <c r="I55" i="16"/>
  <c r="G19" i="16"/>
  <c r="H20" i="15"/>
  <c r="I20" i="15" s="1"/>
  <c r="H21" i="15"/>
  <c r="I21" i="15" s="1"/>
  <c r="H22" i="15"/>
  <c r="I22" i="15" s="1"/>
  <c r="H23" i="15"/>
  <c r="I23" i="15" s="1"/>
  <c r="H24" i="15"/>
  <c r="I24" i="15" s="1"/>
  <c r="H25" i="15"/>
  <c r="I25" i="15" s="1"/>
  <c r="H26" i="15"/>
  <c r="I26" i="15" s="1"/>
  <c r="H27" i="15"/>
  <c r="I27" i="15" s="1"/>
  <c r="H28" i="15"/>
  <c r="I28" i="15" s="1"/>
  <c r="I35" i="15"/>
  <c r="I36" i="15"/>
  <c r="S56" i="15"/>
  <c r="S59" i="15"/>
  <c r="K50" i="15"/>
  <c r="G14" i="15" s="1"/>
  <c r="M50" i="15"/>
  <c r="B16" i="15" s="1"/>
  <c r="N50" i="15"/>
  <c r="E16" i="15" s="1"/>
  <c r="I55" i="15"/>
  <c r="H20" i="13"/>
  <c r="I20" i="13" s="1"/>
  <c r="H21" i="13"/>
  <c r="I21" i="13" s="1"/>
  <c r="H22" i="13"/>
  <c r="I22" i="13" s="1"/>
  <c r="H23" i="13"/>
  <c r="I23" i="13" s="1"/>
  <c r="H24" i="13"/>
  <c r="I24" i="13" s="1"/>
  <c r="H25" i="13"/>
  <c r="I25" i="13" s="1"/>
  <c r="H26" i="13"/>
  <c r="I26" i="13" s="1"/>
  <c r="H27" i="13"/>
  <c r="I27" i="13" s="1"/>
  <c r="H28" i="13"/>
  <c r="I28" i="13" s="1"/>
  <c r="I35" i="13"/>
  <c r="I36" i="13"/>
  <c r="S55" i="13"/>
  <c r="T55" i="13" s="1"/>
  <c r="S57" i="13"/>
  <c r="K50" i="13"/>
  <c r="G14" i="13" s="1"/>
  <c r="M50" i="13"/>
  <c r="B16" i="13" s="1"/>
  <c r="N50" i="13"/>
  <c r="E16" i="13" s="1"/>
  <c r="I55" i="13"/>
  <c r="G19" i="14"/>
  <c r="G20" i="14"/>
  <c r="H20" i="14"/>
  <c r="I20" i="14" s="1"/>
  <c r="G21" i="14"/>
  <c r="H21" i="14"/>
  <c r="I21" i="14" s="1"/>
  <c r="G22" i="14"/>
  <c r="H22" i="14"/>
  <c r="I22" i="14" s="1"/>
  <c r="G23" i="14"/>
  <c r="H23" i="14"/>
  <c r="I23" i="14" s="1"/>
  <c r="G24" i="14"/>
  <c r="H24" i="14"/>
  <c r="I24" i="14" s="1"/>
  <c r="G25" i="14"/>
  <c r="H25" i="14"/>
  <c r="I25" i="14" s="1"/>
  <c r="G26" i="14"/>
  <c r="H26" i="14"/>
  <c r="I26" i="14" s="1"/>
  <c r="G27" i="14"/>
  <c r="H27" i="14"/>
  <c r="I27" i="14" s="1"/>
  <c r="G28" i="14"/>
  <c r="H28" i="14"/>
  <c r="I28" i="14" s="1"/>
  <c r="I35" i="14"/>
  <c r="I36" i="14"/>
  <c r="T44" i="14"/>
  <c r="T45" i="14" s="1"/>
  <c r="T46" i="14" s="1"/>
  <c r="C49" i="14"/>
  <c r="D49" i="14" s="1"/>
  <c r="K50" i="14"/>
  <c r="M50" i="14"/>
  <c r="N50" i="14"/>
  <c r="I52" i="14"/>
  <c r="E54" i="14"/>
  <c r="I54" i="14" s="1"/>
  <c r="I55" i="14"/>
  <c r="T55" i="14"/>
  <c r="U55" i="14"/>
  <c r="I56" i="14"/>
  <c r="U56" i="14"/>
  <c r="U57" i="14"/>
  <c r="U58" i="14"/>
  <c r="U59" i="14"/>
  <c r="H20" i="12"/>
  <c r="I20" i="12" s="1"/>
  <c r="H21" i="12"/>
  <c r="I21" i="12" s="1"/>
  <c r="H22" i="12"/>
  <c r="I22" i="12" s="1"/>
  <c r="H23" i="12"/>
  <c r="I23" i="12" s="1"/>
  <c r="H24" i="12"/>
  <c r="I24" i="12" s="1"/>
  <c r="H25" i="12"/>
  <c r="I25" i="12" s="1"/>
  <c r="H26" i="12"/>
  <c r="I26" i="12" s="1"/>
  <c r="H27" i="12"/>
  <c r="I27" i="12" s="1"/>
  <c r="H28" i="12"/>
  <c r="I28" i="12" s="1"/>
  <c r="I35" i="12"/>
  <c r="I36" i="12"/>
  <c r="K50" i="12"/>
  <c r="G14" i="12" s="1"/>
  <c r="M50" i="12"/>
  <c r="B16" i="12" s="1"/>
  <c r="N50" i="12"/>
  <c r="E16" i="12" s="1"/>
  <c r="I55" i="12"/>
  <c r="G19" i="11"/>
  <c r="G20" i="11"/>
  <c r="H20" i="11"/>
  <c r="I20" i="11" s="1"/>
  <c r="G21" i="11"/>
  <c r="H21" i="11"/>
  <c r="I21" i="11" s="1"/>
  <c r="G22" i="11"/>
  <c r="H22" i="11"/>
  <c r="I22" i="11" s="1"/>
  <c r="G23" i="11"/>
  <c r="H23" i="11"/>
  <c r="I23" i="11" s="1"/>
  <c r="G24" i="11"/>
  <c r="H24" i="11"/>
  <c r="I24" i="11" s="1"/>
  <c r="G25" i="11"/>
  <c r="H25" i="11"/>
  <c r="I25" i="11" s="1"/>
  <c r="G26" i="11"/>
  <c r="H26" i="11"/>
  <c r="I26" i="11" s="1"/>
  <c r="G27" i="11"/>
  <c r="H27" i="11"/>
  <c r="I27" i="11" s="1"/>
  <c r="G28" i="11"/>
  <c r="H28" i="11"/>
  <c r="I28" i="11" s="1"/>
  <c r="I35" i="11"/>
  <c r="I36" i="11"/>
  <c r="T44" i="11"/>
  <c r="T45" i="11" s="1"/>
  <c r="T46" i="11" s="1"/>
  <c r="K50" i="11"/>
  <c r="G14" i="11" s="1"/>
  <c r="M50" i="11"/>
  <c r="B16" i="11" s="1"/>
  <c r="N50" i="11"/>
  <c r="E16" i="11" s="1"/>
  <c r="I55" i="11"/>
  <c r="T55" i="11"/>
  <c r="H20" i="10"/>
  <c r="I20" i="10" s="1"/>
  <c r="H21" i="10"/>
  <c r="I21" i="10" s="1"/>
  <c r="H22" i="10"/>
  <c r="I22" i="10" s="1"/>
  <c r="H23" i="10"/>
  <c r="I23" i="10" s="1"/>
  <c r="H24" i="10"/>
  <c r="I24" i="10" s="1"/>
  <c r="H25" i="10"/>
  <c r="I25" i="10" s="1"/>
  <c r="H26" i="10"/>
  <c r="I26" i="10" s="1"/>
  <c r="H27" i="10"/>
  <c r="I27" i="10" s="1"/>
  <c r="H28" i="10"/>
  <c r="I28" i="10" s="1"/>
  <c r="I35" i="10"/>
  <c r="I36" i="10"/>
  <c r="S56" i="10"/>
  <c r="S59" i="10"/>
  <c r="K50" i="10"/>
  <c r="G14" i="10" s="1"/>
  <c r="M50" i="10"/>
  <c r="B16" i="10" s="1"/>
  <c r="N50" i="10"/>
  <c r="E16" i="10" s="1"/>
  <c r="I55" i="10"/>
  <c r="H20" i="9"/>
  <c r="I20" i="9" s="1"/>
  <c r="H21" i="9"/>
  <c r="I21" i="9" s="1"/>
  <c r="H22" i="9"/>
  <c r="I22" i="9" s="1"/>
  <c r="H23" i="9"/>
  <c r="I23" i="9" s="1"/>
  <c r="H24" i="9"/>
  <c r="I24" i="9" s="1"/>
  <c r="H25" i="9"/>
  <c r="I25" i="9" s="1"/>
  <c r="H26" i="9"/>
  <c r="I26" i="9" s="1"/>
  <c r="H27" i="9"/>
  <c r="I27" i="9" s="1"/>
  <c r="H28" i="9"/>
  <c r="I28" i="9" s="1"/>
  <c r="I35" i="9"/>
  <c r="I36" i="9"/>
  <c r="I44" i="9"/>
  <c r="T44" i="9"/>
  <c r="T45" i="9" s="1"/>
  <c r="S55" i="9"/>
  <c r="T55" i="9" s="1"/>
  <c r="S56" i="9"/>
  <c r="S58" i="9"/>
  <c r="K50" i="9"/>
  <c r="G14" i="9" s="1"/>
  <c r="M50" i="9"/>
  <c r="B16" i="9" s="1"/>
  <c r="N50" i="9"/>
  <c r="E16" i="9" s="1"/>
  <c r="I55" i="9"/>
  <c r="H20" i="8"/>
  <c r="I20" i="8" s="1"/>
  <c r="H21" i="8"/>
  <c r="I21" i="8" s="1"/>
  <c r="H22" i="8"/>
  <c r="I22" i="8" s="1"/>
  <c r="H23" i="8"/>
  <c r="I23" i="8" s="1"/>
  <c r="H24" i="8"/>
  <c r="I24" i="8" s="1"/>
  <c r="H25" i="8"/>
  <c r="I25" i="8" s="1"/>
  <c r="H26" i="8"/>
  <c r="I26" i="8" s="1"/>
  <c r="H27" i="8"/>
  <c r="I27" i="8" s="1"/>
  <c r="H28" i="8"/>
  <c r="I28" i="8" s="1"/>
  <c r="I35" i="8"/>
  <c r="I36" i="8"/>
  <c r="S55" i="8"/>
  <c r="T55" i="8" s="1"/>
  <c r="S57" i="8"/>
  <c r="K50" i="8"/>
  <c r="G14" i="8" s="1"/>
  <c r="M50" i="8"/>
  <c r="B16" i="8" s="1"/>
  <c r="N50" i="8"/>
  <c r="E16" i="8" s="1"/>
  <c r="I55" i="8"/>
  <c r="H20" i="7"/>
  <c r="I20" i="7" s="1"/>
  <c r="H21" i="7"/>
  <c r="I21" i="7" s="1"/>
  <c r="H22" i="7"/>
  <c r="I22" i="7" s="1"/>
  <c r="H23" i="7"/>
  <c r="I23" i="7" s="1"/>
  <c r="H24" i="7"/>
  <c r="I24" i="7" s="1"/>
  <c r="H25" i="7"/>
  <c r="I25" i="7" s="1"/>
  <c r="H26" i="7"/>
  <c r="I26" i="7" s="1"/>
  <c r="H27" i="7"/>
  <c r="I27" i="7" s="1"/>
  <c r="H28" i="7"/>
  <c r="I28" i="7" s="1"/>
  <c r="I35" i="7"/>
  <c r="I36" i="7"/>
  <c r="S56" i="7"/>
  <c r="S59" i="7"/>
  <c r="K50" i="7"/>
  <c r="G14" i="7" s="1"/>
  <c r="M50" i="7"/>
  <c r="B16" i="7" s="1"/>
  <c r="N50" i="7"/>
  <c r="E16" i="7" s="1"/>
  <c r="I55" i="7"/>
  <c r="S55" i="15"/>
  <c r="T55" i="15" s="1"/>
  <c r="S57" i="20"/>
  <c r="U59" i="19"/>
  <c r="G21" i="18"/>
  <c r="I44" i="13"/>
  <c r="T44" i="20"/>
  <c r="I44" i="8"/>
  <c r="I44" i="12"/>
  <c r="I44" i="15"/>
  <c r="I44" i="10"/>
  <c r="S55" i="18"/>
  <c r="T55" i="18" s="1"/>
  <c r="I44" i="16"/>
  <c r="S55" i="16"/>
  <c r="T55" i="16" s="1"/>
  <c r="U57" i="19"/>
  <c r="I44" i="18"/>
  <c r="U58" i="19"/>
  <c r="G28" i="13"/>
  <c r="G27" i="9"/>
  <c r="G28" i="12"/>
  <c r="S55" i="17"/>
  <c r="T55" i="17" s="1"/>
  <c r="G27" i="16"/>
  <c r="S55" i="7"/>
  <c r="T55" i="7" s="1"/>
  <c r="G26" i="20"/>
  <c r="G21" i="7"/>
  <c r="G19" i="7"/>
  <c r="G20" i="9"/>
  <c r="G21" i="19"/>
  <c r="G28" i="9"/>
  <c r="G24" i="9"/>
  <c r="G28" i="15"/>
  <c r="G20" i="18"/>
  <c r="G23" i="15"/>
  <c r="G26" i="16"/>
  <c r="G19" i="19"/>
  <c r="G20" i="13"/>
  <c r="G26" i="13"/>
  <c r="S58" i="12"/>
  <c r="G21" i="13"/>
  <c r="G24" i="13"/>
  <c r="G25" i="13"/>
  <c r="G27" i="7"/>
  <c r="S56" i="16"/>
  <c r="U55" i="19"/>
  <c r="C48" i="23"/>
  <c r="G19" i="8"/>
  <c r="G21" i="8"/>
  <c r="G22" i="8"/>
  <c r="G27" i="8"/>
  <c r="G26" i="8"/>
  <c r="S57" i="17"/>
  <c r="S56" i="20"/>
  <c r="G22" i="7"/>
  <c r="G28" i="7"/>
  <c r="G26" i="12"/>
  <c r="G27" i="12"/>
  <c r="G21" i="20"/>
  <c r="G19" i="20"/>
  <c r="T44" i="17"/>
  <c r="T45" i="17" s="1"/>
  <c r="T46" i="17" s="1"/>
  <c r="T44" i="19"/>
  <c r="T45" i="19" s="1"/>
  <c r="T46" i="19" s="1"/>
  <c r="G19" i="15"/>
  <c r="G27" i="15"/>
  <c r="G26" i="15"/>
  <c r="G28" i="16"/>
  <c r="G19" i="18"/>
  <c r="S56" i="12"/>
  <c r="G20" i="15"/>
  <c r="G24" i="15"/>
  <c r="G28" i="18"/>
  <c r="G26" i="18"/>
  <c r="G20" i="19"/>
  <c r="G22" i="19"/>
  <c r="G27" i="19"/>
  <c r="G28" i="19"/>
  <c r="G25" i="20"/>
  <c r="G27" i="20"/>
  <c r="S55" i="10"/>
  <c r="T55" i="10" s="1"/>
  <c r="G25" i="18"/>
  <c r="S58" i="7"/>
  <c r="G19" i="10"/>
  <c r="C16" i="11" l="1"/>
  <c r="G16" i="10"/>
  <c r="G16" i="12"/>
  <c r="C16" i="7"/>
  <c r="G16" i="8"/>
  <c r="C16" i="8"/>
  <c r="G16" i="9"/>
  <c r="G16" i="7"/>
  <c r="C16" i="9"/>
  <c r="C16" i="10"/>
  <c r="C16" i="12"/>
  <c r="T56" i="8"/>
  <c r="T57" i="8" s="1"/>
  <c r="G16" i="11"/>
  <c r="T56" i="11"/>
  <c r="T57" i="11" s="1"/>
  <c r="U60" i="14"/>
  <c r="T56" i="14"/>
  <c r="T57" i="14" s="1"/>
  <c r="T56" i="12"/>
  <c r="T57" i="12" s="1"/>
  <c r="T56" i="9"/>
  <c r="T57" i="9" s="1"/>
  <c r="T56" i="7"/>
  <c r="T57" i="7" s="1"/>
  <c r="T56" i="16"/>
  <c r="T57" i="16" s="1"/>
  <c r="A35" i="21"/>
  <c r="T56" i="10"/>
  <c r="T56" i="19"/>
  <c r="T57" i="19" s="1"/>
  <c r="G21" i="12"/>
  <c r="G19" i="12"/>
  <c r="G24" i="12"/>
  <c r="G25" i="12"/>
  <c r="G23" i="10"/>
  <c r="G20" i="10"/>
  <c r="G26" i="10"/>
  <c r="G24" i="10"/>
  <c r="G27" i="10"/>
  <c r="G25" i="10"/>
  <c r="G22" i="10"/>
  <c r="T56" i="15"/>
  <c r="T57" i="15" s="1"/>
  <c r="T56" i="17"/>
  <c r="T57" i="17" s="1"/>
  <c r="U60" i="19"/>
  <c r="G22" i="12"/>
  <c r="G20" i="12"/>
  <c r="G23" i="12"/>
  <c r="T46" i="9"/>
  <c r="T46" i="8"/>
  <c r="T46" i="15"/>
  <c r="G23" i="19"/>
  <c r="G25" i="19"/>
  <c r="G26" i="19"/>
  <c r="G24" i="19"/>
  <c r="G23" i="20"/>
  <c r="G22" i="20"/>
  <c r="G20" i="20"/>
  <c r="G24" i="16"/>
  <c r="S58" i="16"/>
  <c r="G20" i="8"/>
  <c r="G24" i="8"/>
  <c r="G23" i="8"/>
  <c r="G25" i="8"/>
  <c r="G21" i="9"/>
  <c r="G19" i="9"/>
  <c r="G25" i="9"/>
  <c r="G22" i="15"/>
  <c r="G25" i="15"/>
  <c r="G20" i="16"/>
  <c r="G23" i="16"/>
  <c r="G22" i="16"/>
  <c r="G24" i="18"/>
  <c r="G22" i="18"/>
  <c r="G23" i="18"/>
  <c r="S56" i="13"/>
  <c r="T56" i="13" s="1"/>
  <c r="T57" i="13" s="1"/>
  <c r="T45" i="13"/>
  <c r="T46" i="13" s="1"/>
  <c r="T56" i="18"/>
  <c r="T57" i="18" s="1"/>
  <c r="T45" i="20"/>
  <c r="T46" i="20" s="1"/>
  <c r="T56" i="20"/>
  <c r="T57" i="20" s="1"/>
  <c r="G25" i="7"/>
  <c r="G24" i="7"/>
  <c r="G23" i="7"/>
  <c r="G20" i="7"/>
  <c r="G26" i="7"/>
  <c r="G22" i="9"/>
  <c r="G23" i="9"/>
  <c r="G27" i="13"/>
  <c r="G22" i="13"/>
  <c r="T46" i="10"/>
  <c r="S57" i="10"/>
  <c r="T46" i="16"/>
  <c r="T46" i="18"/>
  <c r="G23" i="13"/>
  <c r="G16" i="13" l="1"/>
  <c r="G16" i="20"/>
  <c r="C16" i="13"/>
  <c r="C16" i="20"/>
  <c r="G16" i="15"/>
  <c r="C16" i="15"/>
  <c r="T57" i="10"/>
  <c r="C16" i="16" l="1"/>
  <c r="G16" i="16"/>
  <c r="G16" i="18"/>
  <c r="G16" i="17"/>
  <c r="C16" i="17"/>
  <c r="C16" i="18"/>
  <c r="G24" i="17"/>
  <c r="H22" i="17" l="1"/>
  <c r="I22" i="17" s="1"/>
  <c r="H23" i="17"/>
  <c r="I23" i="17" s="1"/>
  <c r="I24" i="17" s="1"/>
  <c r="H20" i="17"/>
  <c r="I20" i="17" s="1"/>
  <c r="H19" i="17"/>
  <c r="I19" i="17" s="1"/>
  <c r="H21" i="17"/>
  <c r="I21" i="17" s="1"/>
  <c r="H19" i="18"/>
  <c r="I19" i="18" s="1"/>
  <c r="H20" i="18"/>
  <c r="I20" i="18" s="1"/>
  <c r="H21" i="18"/>
  <c r="I21" i="18" s="1"/>
  <c r="I29" i="18" l="1"/>
  <c r="I35" i="17"/>
  <c r="I29" i="17"/>
  <c r="H37" i="18" l="1"/>
  <c r="H40" i="18"/>
  <c r="I34" i="18"/>
  <c r="H48" i="18"/>
  <c r="H45" i="18"/>
  <c r="H41" i="18"/>
  <c r="H41" i="17"/>
  <c r="H40" i="17"/>
  <c r="H48" i="17"/>
  <c r="I34" i="17"/>
  <c r="H45" i="17"/>
  <c r="H37" i="17"/>
  <c r="D55" i="21" s="1"/>
  <c r="G32" i="17"/>
  <c r="I32" i="17" s="1"/>
  <c r="G32" i="18"/>
  <c r="H20" i="20"/>
  <c r="I20" i="20" s="1"/>
  <c r="H21" i="20"/>
  <c r="I21" i="20" s="1"/>
  <c r="H22" i="20"/>
  <c r="I22" i="20" s="1"/>
  <c r="H23" i="20"/>
  <c r="I23" i="20" s="1"/>
  <c r="H19" i="20"/>
  <c r="I19" i="20" s="1"/>
  <c r="G30" i="18"/>
  <c r="B87" i="21"/>
  <c r="E87" i="21" s="1"/>
  <c r="I32" i="18"/>
  <c r="G31" i="18"/>
  <c r="I31" i="18" s="1"/>
  <c r="C49" i="18"/>
  <c r="D49" i="18" s="1"/>
  <c r="O87" i="21"/>
  <c r="M87" i="21"/>
  <c r="G30" i="17"/>
  <c r="B86" i="21"/>
  <c r="G31" i="17"/>
  <c r="I31" i="17" s="1"/>
  <c r="O86" i="21"/>
  <c r="M86" i="21"/>
  <c r="C49" i="17"/>
  <c r="D49" i="17" s="1"/>
  <c r="I30" i="18" l="1"/>
  <c r="G33" i="18"/>
  <c r="I33" i="18" s="1"/>
  <c r="D56" i="21"/>
  <c r="G51" i="17"/>
  <c r="I48" i="17"/>
  <c r="M55" i="21" s="1"/>
  <c r="E51" i="18"/>
  <c r="E51" i="17"/>
  <c r="E86" i="21"/>
  <c r="G33" i="17"/>
  <c r="I33" i="17" s="1"/>
  <c r="I30" i="17"/>
  <c r="G51" i="18" l="1"/>
  <c r="H38" i="17"/>
  <c r="H38" i="18"/>
  <c r="I87" i="21" s="1"/>
  <c r="U47" i="18" l="1"/>
  <c r="G26" i="21"/>
  <c r="E26" i="21" s="1"/>
  <c r="U45" i="18"/>
  <c r="U44" i="18"/>
  <c r="U46" i="18"/>
  <c r="U48" i="18"/>
  <c r="U49" i="18"/>
  <c r="H54" i="9"/>
  <c r="H54" i="8"/>
  <c r="H54" i="18"/>
  <c r="H54" i="17"/>
  <c r="H54" i="11"/>
  <c r="H54" i="7"/>
  <c r="H54" i="16"/>
  <c r="H54" i="13"/>
  <c r="H54" i="10"/>
  <c r="H54" i="20"/>
  <c r="H54" i="15"/>
  <c r="H54" i="12"/>
  <c r="B105" i="21"/>
  <c r="E105" i="21"/>
  <c r="I86" i="21"/>
  <c r="U49" i="17"/>
  <c r="U48" i="17"/>
  <c r="G25" i="21"/>
  <c r="U46" i="17"/>
  <c r="U44" i="17"/>
  <c r="U47" i="17"/>
  <c r="U45" i="17"/>
  <c r="B26" i="21" l="1"/>
  <c r="U50" i="18"/>
  <c r="H39" i="18" s="1"/>
  <c r="I57" i="18" s="1"/>
  <c r="E54" i="18"/>
  <c r="I54" i="18" s="1"/>
  <c r="E54" i="17"/>
  <c r="I54" i="17" s="1"/>
  <c r="E54" i="11"/>
  <c r="I54" i="11" s="1"/>
  <c r="E54" i="8"/>
  <c r="I54" i="8" s="1"/>
  <c r="E54" i="12"/>
  <c r="I54" i="12" s="1"/>
  <c r="E54" i="9"/>
  <c r="I54" i="9" s="1"/>
  <c r="E54" i="7"/>
  <c r="I54" i="7" s="1"/>
  <c r="E54" i="16"/>
  <c r="I54" i="16" s="1"/>
  <c r="E54" i="20"/>
  <c r="I54" i="20" s="1"/>
  <c r="E54" i="10"/>
  <c r="I54" i="10" s="1"/>
  <c r="E54" i="15"/>
  <c r="I54" i="15" s="1"/>
  <c r="E54" i="13"/>
  <c r="I54" i="13" s="1"/>
  <c r="B25" i="21"/>
  <c r="E25" i="21"/>
  <c r="U50" i="17"/>
  <c r="H39" i="17" s="1"/>
  <c r="I57" i="17" s="1"/>
  <c r="B104" i="21"/>
  <c r="E104" i="21"/>
  <c r="K87" i="21" l="1"/>
  <c r="I42" i="18"/>
  <c r="Q87" i="21" s="1"/>
  <c r="C51" i="17"/>
  <c r="K86" i="21"/>
  <c r="I42" i="17"/>
  <c r="I25" i="21"/>
  <c r="K25" i="21" l="1"/>
  <c r="L25" i="21" s="1"/>
  <c r="M25" i="21" s="1"/>
  <c r="C51" i="18"/>
  <c r="D51" i="17"/>
  <c r="I26" i="21"/>
  <c r="Q86" i="21"/>
  <c r="K26" i="21" l="1"/>
  <c r="L26" i="21" s="1"/>
  <c r="M26" i="21" s="1"/>
  <c r="D51" i="18"/>
  <c r="H51" i="17"/>
  <c r="C52" i="8" l="1"/>
  <c r="C52" i="15"/>
  <c r="C52" i="13"/>
  <c r="C52" i="9"/>
  <c r="C52" i="7"/>
  <c r="C52" i="12"/>
  <c r="C52" i="10"/>
  <c r="C52" i="16"/>
  <c r="C52" i="18"/>
  <c r="C52" i="17"/>
  <c r="C52" i="11"/>
  <c r="H51" i="18"/>
  <c r="U55" i="12" l="1"/>
  <c r="U58" i="12"/>
  <c r="U59" i="12"/>
  <c r="U57" i="12"/>
  <c r="U56" i="12"/>
  <c r="U56" i="16"/>
  <c r="U57" i="16"/>
  <c r="U55" i="16"/>
  <c r="U58" i="16"/>
  <c r="U59" i="16"/>
  <c r="U58" i="7"/>
  <c r="U59" i="7"/>
  <c r="U57" i="7"/>
  <c r="U56" i="7"/>
  <c r="U55" i="7"/>
  <c r="U58" i="9"/>
  <c r="U57" i="9"/>
  <c r="U56" i="9"/>
  <c r="U55" i="9"/>
  <c r="U59" i="9"/>
  <c r="U58" i="13"/>
  <c r="U59" i="13"/>
  <c r="U57" i="13"/>
  <c r="U55" i="13"/>
  <c r="U56" i="13"/>
  <c r="U55" i="17"/>
  <c r="U58" i="17"/>
  <c r="U59" i="17"/>
  <c r="U56" i="17"/>
  <c r="U57" i="17"/>
  <c r="U56" i="15"/>
  <c r="U58" i="15"/>
  <c r="U57" i="15"/>
  <c r="U59" i="15"/>
  <c r="U55" i="15"/>
  <c r="U56" i="10"/>
  <c r="U55" i="10"/>
  <c r="U57" i="10"/>
  <c r="U59" i="10"/>
  <c r="U58" i="10"/>
  <c r="U59" i="11"/>
  <c r="U55" i="11"/>
  <c r="U56" i="11"/>
  <c r="U57" i="11"/>
  <c r="U58" i="11"/>
  <c r="U56" i="18"/>
  <c r="U58" i="18"/>
  <c r="U59" i="18"/>
  <c r="U55" i="18"/>
  <c r="U57" i="18"/>
  <c r="U56" i="8"/>
  <c r="U55" i="8"/>
  <c r="U57" i="8"/>
  <c r="U59" i="8"/>
  <c r="U58" i="8"/>
  <c r="U60" i="13" l="1"/>
  <c r="D52" i="13" s="1"/>
  <c r="U60" i="16"/>
  <c r="D52" i="16" s="1"/>
  <c r="U60" i="7"/>
  <c r="D52" i="7" s="1"/>
  <c r="U60" i="10"/>
  <c r="D52" i="10" s="1"/>
  <c r="U60" i="17"/>
  <c r="D52" i="17" s="1"/>
  <c r="U60" i="8"/>
  <c r="D52" i="8" s="1"/>
  <c r="U60" i="15"/>
  <c r="D52" i="15" s="1"/>
  <c r="U60" i="9"/>
  <c r="D52" i="9" s="1"/>
  <c r="U60" i="11"/>
  <c r="D52" i="11" s="1"/>
  <c r="U60" i="18"/>
  <c r="D52" i="18" s="1"/>
  <c r="U60" i="12"/>
  <c r="D52" i="12" s="1"/>
  <c r="E52" i="16" l="1"/>
  <c r="E52" i="15"/>
  <c r="E52" i="13"/>
  <c r="E52" i="8"/>
  <c r="E52" i="12"/>
  <c r="E52" i="10"/>
  <c r="E52" i="11"/>
  <c r="E52" i="18"/>
  <c r="E52" i="17"/>
  <c r="E52" i="9"/>
  <c r="E52" i="7"/>
  <c r="G52" i="18"/>
  <c r="G52" i="8"/>
  <c r="G52" i="16"/>
  <c r="G52" i="15"/>
  <c r="G52" i="13"/>
  <c r="G52" i="9"/>
  <c r="G52" i="12"/>
  <c r="G52" i="10"/>
  <c r="G52" i="17"/>
  <c r="H52" i="17" s="1"/>
  <c r="I52" i="17" s="1"/>
  <c r="G52" i="11"/>
  <c r="G52" i="7"/>
  <c r="H52" i="18" l="1"/>
  <c r="I52" i="18" s="1"/>
  <c r="H52" i="15"/>
  <c r="I52" i="15" s="1"/>
  <c r="H52" i="11"/>
  <c r="I52" i="11" s="1"/>
  <c r="H52" i="7"/>
  <c r="I52" i="7" s="1"/>
  <c r="H52" i="13"/>
  <c r="I52" i="13" s="1"/>
  <c r="H52" i="8"/>
  <c r="I52" i="8" s="1"/>
  <c r="H52" i="10"/>
  <c r="I52" i="10" s="1"/>
  <c r="H52" i="12"/>
  <c r="I52" i="12" s="1"/>
  <c r="H52" i="9"/>
  <c r="I52" i="9" s="1"/>
  <c r="H52" i="16"/>
  <c r="I52" i="16" s="1"/>
  <c r="I49" i="17" l="1"/>
  <c r="Q55" i="21" s="1"/>
  <c r="I45" i="18"/>
  <c r="I56" i="21" s="1"/>
  <c r="I45" i="17"/>
  <c r="I49" i="18"/>
  <c r="I53" i="17" l="1"/>
  <c r="I55" i="21"/>
  <c r="I59" i="17" l="1"/>
  <c r="I59" i="18" l="1"/>
  <c r="H19" i="19" l="1"/>
  <c r="I19" i="19" s="1"/>
  <c r="I29" i="19" s="1"/>
  <c r="I34" i="19" l="1"/>
  <c r="H37" i="19"/>
  <c r="H40" i="19"/>
  <c r="G32" i="19"/>
  <c r="I32" i="19" s="1"/>
  <c r="D57" i="21"/>
  <c r="I48" i="18"/>
  <c r="M88" i="21"/>
  <c r="B88" i="21"/>
  <c r="E88" i="21" s="1"/>
  <c r="G30" i="19"/>
  <c r="G31" i="19"/>
  <c r="I31" i="19" s="1"/>
  <c r="E51" i="19"/>
  <c r="G51" i="19"/>
  <c r="C51" i="19"/>
  <c r="D51" i="19"/>
  <c r="H51" i="19"/>
  <c r="I59" i="19"/>
  <c r="M56" i="21" l="1"/>
  <c r="I53" i="18"/>
  <c r="G33" i="19"/>
  <c r="I33" i="19" s="1"/>
  <c r="I30" i="19"/>
  <c r="H38" i="19" l="1"/>
  <c r="U49" i="19" l="1"/>
  <c r="U46" i="19"/>
  <c r="U45" i="19"/>
  <c r="I88" i="21"/>
  <c r="E106" i="21" s="1"/>
  <c r="U47" i="19"/>
  <c r="G27" i="21"/>
  <c r="U44" i="19"/>
  <c r="U48" i="19"/>
  <c r="U50" i="19" l="1"/>
  <c r="H39" i="19" s="1"/>
  <c r="I27" i="21"/>
  <c r="K27" i="21" s="1"/>
  <c r="E27" i="21"/>
  <c r="M27" i="21"/>
  <c r="K88" i="21" l="1"/>
  <c r="I42" i="19"/>
  <c r="Q88" i="21" l="1"/>
  <c r="I53" i="19"/>
  <c r="G25" i="16" l="1"/>
  <c r="I14" i="7"/>
  <c r="D14" i="7" l="1"/>
  <c r="C14" i="7"/>
  <c r="H19" i="7" s="1"/>
  <c r="I19" i="7" s="1"/>
  <c r="I29" i="7" s="1"/>
  <c r="H45" i="7" l="1"/>
  <c r="H48" i="7"/>
  <c r="H40" i="7"/>
  <c r="I34" i="7"/>
  <c r="H41" i="7"/>
  <c r="H37" i="7"/>
  <c r="G32" i="7"/>
  <c r="I32" i="7" s="1"/>
  <c r="D45" i="21"/>
  <c r="E45" i="21" s="1"/>
  <c r="B76" i="21"/>
  <c r="G31" i="7"/>
  <c r="I31" i="7" s="1"/>
  <c r="N40" i="21"/>
  <c r="R40" i="21" s="1"/>
  <c r="J40" i="21"/>
  <c r="O76" i="21"/>
  <c r="P76" i="21" s="1"/>
  <c r="G51" i="7" s="1"/>
  <c r="G30" i="7"/>
  <c r="M76" i="21"/>
  <c r="N76" i="21" s="1"/>
  <c r="E51" i="7" s="1"/>
  <c r="I48" i="7" l="1"/>
  <c r="M45" i="21" s="1"/>
  <c r="N45" i="21" s="1"/>
  <c r="G33" i="7"/>
  <c r="I33" i="7" s="1"/>
  <c r="I30" i="7"/>
  <c r="I45" i="7"/>
  <c r="I45" i="21" s="1"/>
  <c r="J45" i="21" s="1"/>
  <c r="D76" i="21"/>
  <c r="E76" i="21"/>
  <c r="F76" i="21" s="1"/>
  <c r="H38" i="7" l="1"/>
  <c r="U44" i="7" l="1"/>
  <c r="U48" i="7"/>
  <c r="U47" i="7"/>
  <c r="G15" i="21"/>
  <c r="U46" i="7"/>
  <c r="I76" i="21"/>
  <c r="U45" i="7"/>
  <c r="U49" i="7"/>
  <c r="E94" i="21" l="1"/>
  <c r="F94" i="21" s="1"/>
  <c r="B94" i="21"/>
  <c r="C94" i="21" s="1"/>
  <c r="J76" i="21"/>
  <c r="B15" i="21"/>
  <c r="C15" i="21" s="1"/>
  <c r="E15" i="21"/>
  <c r="F15" i="21" s="1"/>
  <c r="H15" i="21"/>
  <c r="U50" i="7"/>
  <c r="H39" i="7" s="1"/>
  <c r="I57" i="7" s="1"/>
  <c r="I15" i="21" l="1"/>
  <c r="C51" i="7"/>
  <c r="I42" i="7"/>
  <c r="K76" i="21"/>
  <c r="L76" i="21" s="1"/>
  <c r="D51" i="7" s="1"/>
  <c r="B45" i="21"/>
  <c r="F45" i="21" s="1"/>
  <c r="J15" i="21"/>
  <c r="K15" i="21" l="1"/>
  <c r="L15" i="21" s="1"/>
  <c r="M15" i="21" s="1"/>
  <c r="N15" i="21" s="1"/>
  <c r="Q76" i="21"/>
  <c r="R76" i="21" s="1"/>
  <c r="H51" i="7" s="1"/>
  <c r="I53" i="7"/>
  <c r="Q61" i="7" s="1"/>
  <c r="I60" i="7" s="1"/>
  <c r="H59" i="7" l="1"/>
  <c r="E59" i="8" s="1"/>
  <c r="I59" i="7"/>
  <c r="H20" i="16" l="1"/>
  <c r="I20" i="16" s="1"/>
  <c r="H22" i="16"/>
  <c r="I22" i="16" s="1"/>
  <c r="H23" i="16"/>
  <c r="I23" i="16" s="1"/>
  <c r="H21" i="16"/>
  <c r="I21" i="16" s="1"/>
  <c r="H19" i="16"/>
  <c r="I19" i="16" s="1"/>
  <c r="H24" i="16"/>
  <c r="I24" i="16" s="1"/>
  <c r="I35" i="16" l="1"/>
  <c r="I25" i="16"/>
  <c r="I29" i="16" s="1"/>
  <c r="H41" i="16" l="1"/>
  <c r="H48" i="16"/>
  <c r="I34" i="16"/>
  <c r="H37" i="16"/>
  <c r="H40" i="16"/>
  <c r="M85" i="21" s="1"/>
  <c r="H45" i="16"/>
  <c r="G32" i="16"/>
  <c r="C49" i="16"/>
  <c r="D49" i="16" s="1"/>
  <c r="I49" i="16" s="1"/>
  <c r="Q54" i="21" s="1"/>
  <c r="O85" i="21"/>
  <c r="B85" i="21"/>
  <c r="G30" i="16"/>
  <c r="D54" i="21"/>
  <c r="I32" i="16"/>
  <c r="G31" i="16"/>
  <c r="I31" i="16" s="1"/>
  <c r="I45" i="16"/>
  <c r="I54" i="21" s="1"/>
  <c r="I48" i="16" l="1"/>
  <c r="M54" i="21" s="1"/>
  <c r="E85" i="21"/>
  <c r="I30" i="16"/>
  <c r="G33" i="16"/>
  <c r="I33" i="16" s="1"/>
  <c r="H38" i="16" l="1"/>
  <c r="G24" i="21" l="1"/>
  <c r="I85" i="21"/>
  <c r="U44" i="16"/>
  <c r="U48" i="16"/>
  <c r="U45" i="16"/>
  <c r="U47" i="16"/>
  <c r="U46" i="16"/>
  <c r="U49" i="16"/>
  <c r="U50" i="16" l="1"/>
  <c r="H39" i="16" s="1"/>
  <c r="I57" i="16" s="1"/>
  <c r="E103" i="21"/>
  <c r="B103" i="21"/>
  <c r="E24" i="21"/>
  <c r="B24" i="21"/>
  <c r="I42" i="16" l="1"/>
  <c r="Q85" i="21" s="1"/>
  <c r="K85" i="21"/>
  <c r="I53" i="16" l="1"/>
  <c r="I14" i="8" l="1"/>
  <c r="I14" i="9" l="1"/>
  <c r="D14" i="8"/>
  <c r="C14" i="8"/>
  <c r="H19" i="8" s="1"/>
  <c r="I19" i="8" s="1"/>
  <c r="I29" i="8" s="1"/>
  <c r="H48" i="8" l="1"/>
  <c r="H40" i="8"/>
  <c r="H45" i="8"/>
  <c r="H37" i="8"/>
  <c r="D46" i="21" s="1"/>
  <c r="E46" i="21" s="1"/>
  <c r="H41" i="8"/>
  <c r="I34" i="8"/>
  <c r="G32" i="8"/>
  <c r="I32" i="8" s="1"/>
  <c r="M77" i="21"/>
  <c r="N77" i="21" s="1"/>
  <c r="E51" i="8" s="1"/>
  <c r="I45" i="8"/>
  <c r="I46" i="21" s="1"/>
  <c r="J46" i="21" s="1"/>
  <c r="B77" i="21"/>
  <c r="G31" i="8"/>
  <c r="I31" i="8" s="1"/>
  <c r="G30" i="8"/>
  <c r="I48" i="8"/>
  <c r="M46" i="21" s="1"/>
  <c r="N46" i="21" s="1"/>
  <c r="O77" i="21"/>
  <c r="P77" i="21" s="1"/>
  <c r="G51" i="8" s="1"/>
  <c r="D14" i="9"/>
  <c r="C14" i="9"/>
  <c r="H19" i="9" s="1"/>
  <c r="I19" i="9" s="1"/>
  <c r="I29" i="9" s="1"/>
  <c r="H41" i="9" l="1"/>
  <c r="I34" i="9"/>
  <c r="H37" i="9"/>
  <c r="H45" i="9"/>
  <c r="H40" i="9"/>
  <c r="H48" i="9"/>
  <c r="D47" i="21"/>
  <c r="E47" i="21" s="1"/>
  <c r="I14" i="12"/>
  <c r="G32" i="9"/>
  <c r="I32" i="9" s="1"/>
  <c r="O78" i="21"/>
  <c r="P78" i="21" s="1"/>
  <c r="G51" i="9" s="1"/>
  <c r="G31" i="9"/>
  <c r="I31" i="9" s="1"/>
  <c r="M78" i="21"/>
  <c r="N78" i="21" s="1"/>
  <c r="I45" i="9"/>
  <c r="I47" i="21" s="1"/>
  <c r="J47" i="21" s="1"/>
  <c r="G30" i="9"/>
  <c r="C49" i="9"/>
  <c r="D49" i="9" s="1"/>
  <c r="I49" i="9" s="1"/>
  <c r="Q47" i="21" s="1"/>
  <c r="R47" i="21" s="1"/>
  <c r="B78" i="21"/>
  <c r="E78" i="21" s="1"/>
  <c r="E51" i="9"/>
  <c r="I14" i="10"/>
  <c r="E77" i="21"/>
  <c r="F77" i="21" s="1"/>
  <c r="D77" i="21"/>
  <c r="I14" i="14"/>
  <c r="G33" i="8"/>
  <c r="I33" i="8" s="1"/>
  <c r="I30" i="8"/>
  <c r="I14" i="11"/>
  <c r="I48" i="9" l="1"/>
  <c r="M47" i="21" s="1"/>
  <c r="N47" i="21" s="1"/>
  <c r="F78" i="21"/>
  <c r="D78" i="21"/>
  <c r="H38" i="8"/>
  <c r="C14" i="12"/>
  <c r="H19" i="12" s="1"/>
  <c r="I19" i="12" s="1"/>
  <c r="I29" i="12" s="1"/>
  <c r="D14" i="12"/>
  <c r="C14" i="14"/>
  <c r="H19" i="14" s="1"/>
  <c r="I19" i="14" s="1"/>
  <c r="I29" i="14" s="1"/>
  <c r="D14" i="14"/>
  <c r="I30" i="9"/>
  <c r="G33" i="9"/>
  <c r="I33" i="9" s="1"/>
  <c r="D14" i="10"/>
  <c r="C14" i="10"/>
  <c r="H19" i="10" s="1"/>
  <c r="I19" i="10" s="1"/>
  <c r="I29" i="10" s="1"/>
  <c r="C14" i="11"/>
  <c r="H19" i="11" s="1"/>
  <c r="I19" i="11" s="1"/>
  <c r="I29" i="11" s="1"/>
  <c r="D14" i="11"/>
  <c r="H37" i="14" l="1"/>
  <c r="H40" i="14"/>
  <c r="I34" i="14"/>
  <c r="H48" i="12"/>
  <c r="C49" i="12" s="1"/>
  <c r="D49" i="12" s="1"/>
  <c r="I49" i="12" s="1"/>
  <c r="Q50" i="21" s="1"/>
  <c r="I34" i="12"/>
  <c r="H45" i="12"/>
  <c r="H41" i="12"/>
  <c r="O81" i="21" s="1"/>
  <c r="H37" i="12"/>
  <c r="D50" i="21" s="1"/>
  <c r="H40" i="12"/>
  <c r="H37" i="11"/>
  <c r="H45" i="11"/>
  <c r="I34" i="11"/>
  <c r="H48" i="11"/>
  <c r="H41" i="11"/>
  <c r="H40" i="11"/>
  <c r="M80" i="21" s="1"/>
  <c r="I34" i="10"/>
  <c r="H37" i="10"/>
  <c r="H40" i="10"/>
  <c r="H48" i="10"/>
  <c r="H45" i="10"/>
  <c r="H41" i="10"/>
  <c r="M81" i="21"/>
  <c r="D49" i="21"/>
  <c r="D51" i="21"/>
  <c r="M82" i="21"/>
  <c r="I14" i="13"/>
  <c r="C14" i="13" s="1"/>
  <c r="H19" i="13" s="1"/>
  <c r="I19" i="13" s="1"/>
  <c r="I29" i="13" s="1"/>
  <c r="H38" i="9"/>
  <c r="G30" i="14"/>
  <c r="D51" i="14"/>
  <c r="I59" i="14"/>
  <c r="G31" i="14"/>
  <c r="I31" i="14" s="1"/>
  <c r="H51" i="14"/>
  <c r="G51" i="14"/>
  <c r="E51" i="14"/>
  <c r="B82" i="21"/>
  <c r="E82" i="21" s="1"/>
  <c r="G32" i="14"/>
  <c r="I32" i="14" s="1"/>
  <c r="C51" i="14"/>
  <c r="H51" i="12"/>
  <c r="I48" i="12"/>
  <c r="M50" i="21" s="1"/>
  <c r="G31" i="12"/>
  <c r="I31" i="12" s="1"/>
  <c r="G30" i="12"/>
  <c r="E51" i="12"/>
  <c r="I45" i="12"/>
  <c r="I50" i="21" s="1"/>
  <c r="C51" i="12"/>
  <c r="G51" i="12"/>
  <c r="B81" i="21"/>
  <c r="E81" i="21" s="1"/>
  <c r="D51" i="12"/>
  <c r="G32" i="12"/>
  <c r="I32" i="12" s="1"/>
  <c r="I59" i="12"/>
  <c r="G32" i="10"/>
  <c r="I32" i="10" s="1"/>
  <c r="C49" i="10"/>
  <c r="D49" i="10" s="1"/>
  <c r="I49" i="10" s="1"/>
  <c r="Q48" i="21" s="1"/>
  <c r="R48" i="21" s="1"/>
  <c r="M79" i="21"/>
  <c r="N79" i="21" s="1"/>
  <c r="E51" i="10" s="1"/>
  <c r="I48" i="10"/>
  <c r="M48" i="21" s="1"/>
  <c r="N48" i="21" s="1"/>
  <c r="I45" i="10"/>
  <c r="I48" i="21" s="1"/>
  <c r="J48" i="21" s="1"/>
  <c r="G30" i="10"/>
  <c r="B79" i="21"/>
  <c r="O79" i="21"/>
  <c r="P79" i="21" s="1"/>
  <c r="G51" i="10" s="1"/>
  <c r="D48" i="21"/>
  <c r="E48" i="21" s="1"/>
  <c r="G31" i="10"/>
  <c r="I31" i="10" s="1"/>
  <c r="G30" i="11"/>
  <c r="I45" i="11"/>
  <c r="I49" i="21" s="1"/>
  <c r="O80" i="21"/>
  <c r="C49" i="11"/>
  <c r="D49" i="11" s="1"/>
  <c r="I49" i="11" s="1"/>
  <c r="Q49" i="21" s="1"/>
  <c r="G31" i="11"/>
  <c r="I31" i="11" s="1"/>
  <c r="G32" i="11"/>
  <c r="I32" i="11" s="1"/>
  <c r="B80" i="21"/>
  <c r="E80" i="21" s="1"/>
  <c r="U46" i="8"/>
  <c r="U48" i="8"/>
  <c r="U44" i="8"/>
  <c r="U49" i="8"/>
  <c r="G16" i="21"/>
  <c r="I77" i="21"/>
  <c r="U45" i="8"/>
  <c r="U47" i="8"/>
  <c r="H37" i="13" l="1"/>
  <c r="H40" i="13"/>
  <c r="M83" i="21" s="1"/>
  <c r="H45" i="13"/>
  <c r="H48" i="13"/>
  <c r="C49" i="13" s="1"/>
  <c r="D49" i="13" s="1"/>
  <c r="I49" i="13" s="1"/>
  <c r="Q52" i="21" s="1"/>
  <c r="I34" i="13"/>
  <c r="H41" i="13"/>
  <c r="D14" i="13"/>
  <c r="I48" i="11"/>
  <c r="M49" i="21" s="1"/>
  <c r="N49" i="21" s="1"/>
  <c r="N50" i="21" s="1"/>
  <c r="N51" i="21" s="1"/>
  <c r="G32" i="13"/>
  <c r="I32" i="13" s="1"/>
  <c r="D52" i="21"/>
  <c r="G30" i="13"/>
  <c r="O83" i="21"/>
  <c r="G31" i="13"/>
  <c r="I31" i="13" s="1"/>
  <c r="B83" i="21"/>
  <c r="E83" i="21" s="1"/>
  <c r="I45" i="13"/>
  <c r="I52" i="21" s="1"/>
  <c r="G51" i="13"/>
  <c r="I48" i="13"/>
  <c r="M52" i="21" s="1"/>
  <c r="E51" i="13"/>
  <c r="C51" i="13"/>
  <c r="D51" i="13"/>
  <c r="H51" i="13"/>
  <c r="I59" i="13"/>
  <c r="I14" i="15"/>
  <c r="N80" i="21"/>
  <c r="E51" i="11" s="1"/>
  <c r="J49" i="21"/>
  <c r="J50" i="21" s="1"/>
  <c r="J51" i="21" s="1"/>
  <c r="P80" i="21"/>
  <c r="I30" i="10"/>
  <c r="G33" i="10"/>
  <c r="I33" i="10" s="1"/>
  <c r="G33" i="12"/>
  <c r="I33" i="12" s="1"/>
  <c r="I30" i="12"/>
  <c r="E79" i="21"/>
  <c r="F79" i="21" s="1"/>
  <c r="F80" i="21" s="1"/>
  <c r="F81" i="21" s="1"/>
  <c r="F82" i="21" s="1"/>
  <c r="D79" i="21"/>
  <c r="D80" i="21" s="1"/>
  <c r="D81" i="21" s="1"/>
  <c r="D82" i="21" s="1"/>
  <c r="E49" i="21"/>
  <c r="E50" i="21" s="1"/>
  <c r="E51" i="21" s="1"/>
  <c r="U48" i="9"/>
  <c r="I78" i="21"/>
  <c r="G17" i="21"/>
  <c r="U47" i="9"/>
  <c r="U49" i="9"/>
  <c r="U46" i="9"/>
  <c r="U44" i="9"/>
  <c r="U45" i="9"/>
  <c r="I30" i="11"/>
  <c r="G33" i="11"/>
  <c r="I33" i="11" s="1"/>
  <c r="E95" i="21"/>
  <c r="F95" i="21" s="1"/>
  <c r="J77" i="21"/>
  <c r="C51" i="8" s="1"/>
  <c r="B95" i="21"/>
  <c r="C95" i="21" s="1"/>
  <c r="I30" i="14"/>
  <c r="G33" i="14"/>
  <c r="I33" i="14" s="1"/>
  <c r="E16" i="21"/>
  <c r="F16" i="21" s="1"/>
  <c r="H16" i="21"/>
  <c r="B16" i="21"/>
  <c r="C16" i="21" s="1"/>
  <c r="U50" i="8"/>
  <c r="H39" i="8" s="1"/>
  <c r="I57" i="8" s="1"/>
  <c r="R49" i="21"/>
  <c r="R50" i="21" s="1"/>
  <c r="R51" i="21" s="1"/>
  <c r="J52" i="21" l="1"/>
  <c r="N52" i="21"/>
  <c r="I16" i="21"/>
  <c r="K16" i="21" s="1"/>
  <c r="L16" i="21" s="1"/>
  <c r="M16" i="21" s="1"/>
  <c r="N81" i="21"/>
  <c r="N82" i="21" s="1"/>
  <c r="N83" i="21" s="1"/>
  <c r="P81" i="21"/>
  <c r="P82" i="21" s="1"/>
  <c r="P83" i="21" s="1"/>
  <c r="G51" i="11"/>
  <c r="E52" i="21"/>
  <c r="D83" i="21"/>
  <c r="R52" i="21"/>
  <c r="F83" i="21"/>
  <c r="D14" i="15"/>
  <c r="C14" i="15"/>
  <c r="H19" i="15" s="1"/>
  <c r="I19" i="15" s="1"/>
  <c r="I29" i="15" s="1"/>
  <c r="I30" i="13"/>
  <c r="G33" i="13"/>
  <c r="I33" i="13" s="1"/>
  <c r="I14" i="16"/>
  <c r="J78" i="21"/>
  <c r="C51" i="9" s="1"/>
  <c r="U50" i="9"/>
  <c r="H39" i="9" s="1"/>
  <c r="I57" i="9" s="1"/>
  <c r="B46" i="21"/>
  <c r="F46" i="21" s="1"/>
  <c r="H17" i="21"/>
  <c r="H38" i="11"/>
  <c r="I42" i="8"/>
  <c r="K77" i="21"/>
  <c r="L77" i="21" s="1"/>
  <c r="H38" i="14"/>
  <c r="H38" i="12"/>
  <c r="H38" i="10"/>
  <c r="B17" i="21"/>
  <c r="C17" i="21" s="1"/>
  <c r="E17" i="21"/>
  <c r="F17" i="21" s="1"/>
  <c r="J16" i="21"/>
  <c r="B96" i="21"/>
  <c r="C96" i="21" s="1"/>
  <c r="E96" i="21"/>
  <c r="F96" i="21" s="1"/>
  <c r="H48" i="15" l="1"/>
  <c r="I34" i="15"/>
  <c r="H45" i="15"/>
  <c r="H41" i="15"/>
  <c r="H37" i="15"/>
  <c r="H40" i="15"/>
  <c r="M84" i="21" s="1"/>
  <c r="N84" i="21" s="1"/>
  <c r="N85" i="21" s="1"/>
  <c r="I42" i="9"/>
  <c r="Q78" i="21" s="1"/>
  <c r="N16" i="21"/>
  <c r="I17" i="21"/>
  <c r="K17" i="21" s="1"/>
  <c r="L17" i="21" s="1"/>
  <c r="M17" i="21" s="1"/>
  <c r="H38" i="13"/>
  <c r="I14" i="17"/>
  <c r="G32" i="15"/>
  <c r="I32" i="15" s="1"/>
  <c r="G30" i="15"/>
  <c r="D53" i="21"/>
  <c r="E53" i="21" s="1"/>
  <c r="E54" i="21" s="1"/>
  <c r="E55" i="21" s="1"/>
  <c r="E56" i="21" s="1"/>
  <c r="E57" i="21" s="1"/>
  <c r="I45" i="15"/>
  <c r="I53" i="21" s="1"/>
  <c r="J53" i="21" s="1"/>
  <c r="J54" i="21" s="1"/>
  <c r="J55" i="21" s="1"/>
  <c r="J56" i="21" s="1"/>
  <c r="G31" i="15"/>
  <c r="I31" i="15" s="1"/>
  <c r="C49" i="15"/>
  <c r="D49" i="15" s="1"/>
  <c r="I49" i="15" s="1"/>
  <c r="Q53" i="21" s="1"/>
  <c r="R53" i="21" s="1"/>
  <c r="R54" i="21" s="1"/>
  <c r="R55" i="21" s="1"/>
  <c r="Q56" i="21" s="1"/>
  <c r="R56" i="21" s="1"/>
  <c r="B84" i="21"/>
  <c r="O84" i="21"/>
  <c r="P84" i="21" s="1"/>
  <c r="P85" i="21" s="1"/>
  <c r="G51" i="15"/>
  <c r="E51" i="15"/>
  <c r="I48" i="15"/>
  <c r="M53" i="21" s="1"/>
  <c r="N53" i="21" s="1"/>
  <c r="N54" i="21" s="1"/>
  <c r="N55" i="21" s="1"/>
  <c r="N56" i="21" s="1"/>
  <c r="C51" i="15"/>
  <c r="D51" i="15"/>
  <c r="H51" i="15"/>
  <c r="I59" i="15"/>
  <c r="C14" i="16"/>
  <c r="D14" i="16"/>
  <c r="K78" i="21"/>
  <c r="L78" i="21" s="1"/>
  <c r="D51" i="9" s="1"/>
  <c r="J17" i="21"/>
  <c r="U45" i="10"/>
  <c r="U48" i="10"/>
  <c r="G18" i="21"/>
  <c r="H18" i="21" s="1"/>
  <c r="U47" i="10"/>
  <c r="U46" i="10"/>
  <c r="U49" i="10"/>
  <c r="U44" i="10"/>
  <c r="I79" i="21"/>
  <c r="U48" i="12"/>
  <c r="U49" i="12"/>
  <c r="U46" i="12"/>
  <c r="I81" i="21"/>
  <c r="U44" i="12"/>
  <c r="U47" i="12"/>
  <c r="U45" i="12"/>
  <c r="G20" i="21"/>
  <c r="I80" i="21"/>
  <c r="U46" i="11"/>
  <c r="U45" i="11"/>
  <c r="U48" i="11"/>
  <c r="U44" i="11"/>
  <c r="U47" i="11"/>
  <c r="G19" i="21"/>
  <c r="U49" i="11"/>
  <c r="B47" i="21"/>
  <c r="F47" i="21" s="1"/>
  <c r="U48" i="14"/>
  <c r="G21" i="21"/>
  <c r="U44" i="14"/>
  <c r="U46" i="14"/>
  <c r="U47" i="14"/>
  <c r="U45" i="14"/>
  <c r="U49" i="14"/>
  <c r="I82" i="21"/>
  <c r="E100" i="21" s="1"/>
  <c r="D51" i="8"/>
  <c r="Q77" i="21"/>
  <c r="R77" i="21" s="1"/>
  <c r="H51" i="8" s="1"/>
  <c r="I53" i="8"/>
  <c r="Q61" i="8" s="1"/>
  <c r="I60" i="8" s="1"/>
  <c r="H59" i="8" s="1"/>
  <c r="I53" i="9" l="1"/>
  <c r="N17" i="21"/>
  <c r="P86" i="21"/>
  <c r="P87" i="21" s="1"/>
  <c r="P88" i="21" s="1"/>
  <c r="G51" i="16"/>
  <c r="N86" i="21"/>
  <c r="N87" i="21" s="1"/>
  <c r="N88" i="21" s="1"/>
  <c r="E51" i="16"/>
  <c r="E59" i="9"/>
  <c r="I59" i="8"/>
  <c r="E84" i="21"/>
  <c r="F84" i="21" s="1"/>
  <c r="F85" i="21" s="1"/>
  <c r="F86" i="21" s="1"/>
  <c r="F87" i="21" s="1"/>
  <c r="F88" i="21" s="1"/>
  <c r="D84" i="21"/>
  <c r="D85" i="21" s="1"/>
  <c r="D86" i="21" s="1"/>
  <c r="D87" i="21" s="1"/>
  <c r="D88" i="21" s="1"/>
  <c r="I30" i="15"/>
  <c r="G33" i="15"/>
  <c r="I33" i="15" s="1"/>
  <c r="D14" i="17"/>
  <c r="C14" i="17"/>
  <c r="I14" i="18"/>
  <c r="U48" i="13"/>
  <c r="U47" i="13"/>
  <c r="I83" i="21"/>
  <c r="U44" i="13"/>
  <c r="U45" i="13"/>
  <c r="U49" i="13"/>
  <c r="G22" i="21"/>
  <c r="U46" i="13"/>
  <c r="U50" i="10"/>
  <c r="H39" i="10" s="1"/>
  <c r="I57" i="10" s="1"/>
  <c r="U50" i="11"/>
  <c r="H39" i="11" s="1"/>
  <c r="I57" i="11" s="1"/>
  <c r="R78" i="21"/>
  <c r="H51" i="9" s="1"/>
  <c r="U50" i="14"/>
  <c r="H39" i="14" s="1"/>
  <c r="K82" i="21" s="1"/>
  <c r="U50" i="12"/>
  <c r="H39" i="12" s="1"/>
  <c r="I57" i="12" s="1"/>
  <c r="E99" i="21"/>
  <c r="B99" i="21"/>
  <c r="E97" i="21"/>
  <c r="F97" i="21" s="1"/>
  <c r="B97" i="21"/>
  <c r="C97" i="21" s="1"/>
  <c r="J79" i="21"/>
  <c r="B48" i="21"/>
  <c r="F48" i="21" s="1"/>
  <c r="B18" i="21"/>
  <c r="C18" i="21" s="1"/>
  <c r="E18" i="21"/>
  <c r="F18" i="21" s="1"/>
  <c r="H19" i="21"/>
  <c r="B49" i="21" s="1"/>
  <c r="F49" i="21" s="1"/>
  <c r="E19" i="21"/>
  <c r="B19" i="21"/>
  <c r="M20" i="21"/>
  <c r="I20" i="21"/>
  <c r="E20" i="21"/>
  <c r="L20" i="21"/>
  <c r="K20" i="21"/>
  <c r="B20" i="21"/>
  <c r="I21" i="21"/>
  <c r="K21" i="21" s="1"/>
  <c r="E21" i="21"/>
  <c r="M21" i="21"/>
  <c r="B98" i="21"/>
  <c r="E98" i="21"/>
  <c r="Q61" i="9" l="1"/>
  <c r="I60" i="9" s="1"/>
  <c r="H59" i="9" s="1"/>
  <c r="E59" i="10" s="1"/>
  <c r="K79" i="21"/>
  <c r="L79" i="21" s="1"/>
  <c r="D51" i="10" s="1"/>
  <c r="I18" i="21"/>
  <c r="K18" i="21" s="1"/>
  <c r="L18" i="21" s="1"/>
  <c r="N18" i="21" s="1"/>
  <c r="J80" i="21"/>
  <c r="C51" i="10"/>
  <c r="I59" i="9"/>
  <c r="I14" i="19"/>
  <c r="D14" i="19" s="1"/>
  <c r="I14" i="20"/>
  <c r="C14" i="20" s="1"/>
  <c r="H24" i="20" s="1"/>
  <c r="I24" i="20" s="1"/>
  <c r="I29" i="20" s="1"/>
  <c r="E101" i="21"/>
  <c r="B101" i="21"/>
  <c r="D14" i="18"/>
  <c r="C14" i="18"/>
  <c r="H38" i="15"/>
  <c r="U50" i="13"/>
  <c r="H39" i="13" s="1"/>
  <c r="I57" i="13" s="1"/>
  <c r="B22" i="21"/>
  <c r="E22" i="21"/>
  <c r="I22" i="21"/>
  <c r="K22" i="21"/>
  <c r="L22" i="21"/>
  <c r="M22" i="21" s="1"/>
  <c r="I42" i="11"/>
  <c r="Q80" i="21" s="1"/>
  <c r="K80" i="21"/>
  <c r="I42" i="14"/>
  <c r="Q82" i="21" s="1"/>
  <c r="H20" i="21"/>
  <c r="H21" i="21" s="1"/>
  <c r="I42" i="10"/>
  <c r="Q79" i="21" s="1"/>
  <c r="R79" i="21" s="1"/>
  <c r="H51" i="10" s="1"/>
  <c r="F98" i="21"/>
  <c r="F99" i="21" s="1"/>
  <c r="F100" i="21" s="1"/>
  <c r="C19" i="21"/>
  <c r="F19" i="21"/>
  <c r="J18" i="21"/>
  <c r="K81" i="21"/>
  <c r="I42" i="12"/>
  <c r="C98" i="21"/>
  <c r="C99" i="21" s="1"/>
  <c r="C100" i="21" s="1"/>
  <c r="H40" i="20" l="1"/>
  <c r="I34" i="20"/>
  <c r="H48" i="20"/>
  <c r="H45" i="20"/>
  <c r="H37" i="20"/>
  <c r="H41" i="20"/>
  <c r="O89" i="21" s="1"/>
  <c r="P89" i="21" s="1"/>
  <c r="G51" i="20" s="1"/>
  <c r="M89" i="21"/>
  <c r="N89" i="21" s="1"/>
  <c r="E51" i="20" s="1"/>
  <c r="L80" i="21"/>
  <c r="D51" i="11" s="1"/>
  <c r="D14" i="20"/>
  <c r="C14" i="19"/>
  <c r="M18" i="21"/>
  <c r="J81" i="21"/>
  <c r="J82" i="21" s="1"/>
  <c r="J83" i="21" s="1"/>
  <c r="C51" i="11"/>
  <c r="C20" i="21"/>
  <c r="C21" i="21" s="1"/>
  <c r="C22" i="21" s="1"/>
  <c r="I19" i="21"/>
  <c r="K19" i="21" s="1"/>
  <c r="L19" i="21" s="1"/>
  <c r="N19" i="21" s="1"/>
  <c r="N20" i="21" s="1"/>
  <c r="N21" i="21" s="1"/>
  <c r="F101" i="21"/>
  <c r="C101" i="21"/>
  <c r="G31" i="20"/>
  <c r="I31" i="20" s="1"/>
  <c r="G32" i="20"/>
  <c r="I32" i="20" s="1"/>
  <c r="B89" i="21"/>
  <c r="C49" i="20"/>
  <c r="D49" i="20" s="1"/>
  <c r="G30" i="20"/>
  <c r="D58" i="21"/>
  <c r="E58" i="21" s="1"/>
  <c r="K83" i="21"/>
  <c r="I42" i="13"/>
  <c r="U46" i="15"/>
  <c r="U48" i="15"/>
  <c r="U45" i="15"/>
  <c r="I84" i="21"/>
  <c r="U47" i="15"/>
  <c r="U44" i="15"/>
  <c r="U49" i="15"/>
  <c r="G23" i="21"/>
  <c r="B50" i="21"/>
  <c r="F50" i="21" s="1"/>
  <c r="I53" i="10"/>
  <c r="Q61" i="10" s="1"/>
  <c r="I60" i="10" s="1"/>
  <c r="H59" i="10" s="1"/>
  <c r="I53" i="11"/>
  <c r="J19" i="21"/>
  <c r="I53" i="14"/>
  <c r="F20" i="21"/>
  <c r="F21" i="21" s="1"/>
  <c r="F22" i="21" s="1"/>
  <c r="R80" i="21"/>
  <c r="H51" i="11" s="1"/>
  <c r="Q81" i="21"/>
  <c r="I53" i="12"/>
  <c r="H22" i="21"/>
  <c r="B51" i="21"/>
  <c r="F51" i="21" s="1"/>
  <c r="L81" i="21" l="1"/>
  <c r="L82" i="21" s="1"/>
  <c r="L83" i="21" s="1"/>
  <c r="M19" i="21"/>
  <c r="E59" i="11"/>
  <c r="I59" i="10"/>
  <c r="U50" i="15"/>
  <c r="H39" i="15" s="1"/>
  <c r="I57" i="15" s="1"/>
  <c r="E102" i="21"/>
  <c r="F102" i="21" s="1"/>
  <c r="F103" i="21" s="1"/>
  <c r="F104" i="21" s="1"/>
  <c r="F105" i="21" s="1"/>
  <c r="F106" i="21" s="1"/>
  <c r="B102" i="21"/>
  <c r="C102" i="21" s="1"/>
  <c r="C103" i="21" s="1"/>
  <c r="C104" i="21" s="1"/>
  <c r="C105" i="21" s="1"/>
  <c r="C106" i="21" s="1"/>
  <c r="J84" i="21"/>
  <c r="J85" i="21" s="1"/>
  <c r="G33" i="20"/>
  <c r="I33" i="20" s="1"/>
  <c r="I30" i="20"/>
  <c r="B23" i="21"/>
  <c r="C23" i="21" s="1"/>
  <c r="E23" i="21"/>
  <c r="F23" i="21" s="1"/>
  <c r="F24" i="21" s="1"/>
  <c r="F25" i="21" s="1"/>
  <c r="F26" i="21" s="1"/>
  <c r="F27" i="21" s="1"/>
  <c r="I23" i="21"/>
  <c r="K23" i="21"/>
  <c r="L23" i="21"/>
  <c r="M23" i="21" s="1"/>
  <c r="Q83" i="21"/>
  <c r="I53" i="13"/>
  <c r="E89" i="21"/>
  <c r="F89" i="21" s="1"/>
  <c r="D89" i="21"/>
  <c r="J20" i="21"/>
  <c r="R81" i="21"/>
  <c r="R82" i="21" s="1"/>
  <c r="J22" i="21"/>
  <c r="B52" i="21"/>
  <c r="F52" i="21" s="1"/>
  <c r="H23" i="21"/>
  <c r="N22" i="21"/>
  <c r="K84" i="21" l="1"/>
  <c r="L84" i="21" s="1"/>
  <c r="L85" i="21" s="1"/>
  <c r="L86" i="21" s="1"/>
  <c r="L87" i="21" s="1"/>
  <c r="L88" i="21" s="1"/>
  <c r="D51" i="16"/>
  <c r="J86" i="21"/>
  <c r="J87" i="21" s="1"/>
  <c r="J88" i="21" s="1"/>
  <c r="C51" i="16"/>
  <c r="I42" i="15"/>
  <c r="Q84" i="21" s="1"/>
  <c r="Q61" i="11"/>
  <c r="I60" i="11" s="1"/>
  <c r="H59" i="11" s="1"/>
  <c r="E59" i="12" s="1"/>
  <c r="Q61" i="12" s="1"/>
  <c r="I60" i="12" s="1"/>
  <c r="H59" i="12" s="1"/>
  <c r="E59" i="14" s="1"/>
  <c r="Q61" i="14" s="1"/>
  <c r="I60" i="14" s="1"/>
  <c r="H59" i="14" s="1"/>
  <c r="E59" i="13" s="1"/>
  <c r="Q61" i="13" s="1"/>
  <c r="I60" i="13" s="1"/>
  <c r="H59" i="13" s="1"/>
  <c r="E59" i="15" s="1"/>
  <c r="H38" i="20"/>
  <c r="I89" i="21" s="1"/>
  <c r="R83" i="21"/>
  <c r="J23" i="21"/>
  <c r="C24" i="21"/>
  <c r="I24" i="21" s="1"/>
  <c r="K24" i="21" s="1"/>
  <c r="L24" i="21" s="1"/>
  <c r="M24" i="21" s="1"/>
  <c r="B53" i="21"/>
  <c r="F53" i="21" s="1"/>
  <c r="H24" i="21"/>
  <c r="N23" i="21"/>
  <c r="U46" i="20" l="1"/>
  <c r="G28" i="21"/>
  <c r="B28" i="21" s="1"/>
  <c r="U47" i="20"/>
  <c r="R84" i="21"/>
  <c r="R85" i="21" s="1"/>
  <c r="I53" i="15"/>
  <c r="Q61" i="15" s="1"/>
  <c r="I60" i="15" s="1"/>
  <c r="H59" i="15" s="1"/>
  <c r="E59" i="16" s="1"/>
  <c r="Q61" i="16" s="1"/>
  <c r="I60" i="16" s="1"/>
  <c r="H59" i="16" s="1"/>
  <c r="U49" i="20"/>
  <c r="U44" i="20"/>
  <c r="I59" i="11"/>
  <c r="U45" i="20"/>
  <c r="U48" i="20"/>
  <c r="E107" i="21"/>
  <c r="F107" i="21" s="1"/>
  <c r="B107" i="21"/>
  <c r="C107" i="21" s="1"/>
  <c r="J89" i="21"/>
  <c r="B54" i="21"/>
  <c r="F54" i="21" s="1"/>
  <c r="H25" i="21"/>
  <c r="N24" i="21"/>
  <c r="C25" i="21"/>
  <c r="J24" i="21"/>
  <c r="C11" i="23" l="1"/>
  <c r="C22" i="23" s="1"/>
  <c r="C51" i="20"/>
  <c r="C52" i="20"/>
  <c r="E28" i="21"/>
  <c r="F28" i="21" s="1"/>
  <c r="U50" i="20"/>
  <c r="H39" i="20" s="1"/>
  <c r="I57" i="20" s="1"/>
  <c r="E59" i="17"/>
  <c r="Q61" i="17" s="1"/>
  <c r="I60" i="17" s="1"/>
  <c r="H59" i="17" s="1"/>
  <c r="E59" i="18" s="1"/>
  <c r="Q61" i="18" s="1"/>
  <c r="I60" i="18" s="1"/>
  <c r="H59" i="18" s="1"/>
  <c r="E59" i="19" s="1"/>
  <c r="Q61" i="19" s="1"/>
  <c r="I60" i="19" s="1"/>
  <c r="H59" i="19" s="1"/>
  <c r="E59" i="20" s="1"/>
  <c r="I59" i="20" s="1"/>
  <c r="I59" i="16"/>
  <c r="R86" i="21"/>
  <c r="R87" i="21" s="1"/>
  <c r="R88" i="21" s="1"/>
  <c r="H51" i="16"/>
  <c r="C20" i="23"/>
  <c r="C19" i="23"/>
  <c r="C15" i="23"/>
  <c r="C49" i="23"/>
  <c r="C50" i="23" s="1"/>
  <c r="F62" i="23" s="1"/>
  <c r="C28" i="23"/>
  <c r="C23" i="23"/>
  <c r="C17" i="23"/>
  <c r="C30" i="23"/>
  <c r="C36" i="23"/>
  <c r="C33" i="23"/>
  <c r="C35" i="23"/>
  <c r="C31" i="23"/>
  <c r="C16" i="23"/>
  <c r="C21" i="23"/>
  <c r="C56" i="23"/>
  <c r="C57" i="23" s="1"/>
  <c r="C58" i="23" s="1"/>
  <c r="F63" i="23" s="1"/>
  <c r="J25" i="21"/>
  <c r="C26" i="21"/>
  <c r="H26" i="21"/>
  <c r="B55" i="21"/>
  <c r="F55" i="21" s="1"/>
  <c r="N25" i="21"/>
  <c r="C18" i="23" l="1"/>
  <c r="F60" i="23" s="1"/>
  <c r="E52" i="20" s="1"/>
  <c r="C32" i="23"/>
  <c r="C34" i="23"/>
  <c r="C29" i="23"/>
  <c r="U58" i="20"/>
  <c r="U59" i="20"/>
  <c r="U56" i="20"/>
  <c r="U57" i="20"/>
  <c r="U55" i="20"/>
  <c r="I42" i="20"/>
  <c r="Q89" i="21" s="1"/>
  <c r="R89" i="21" s="1"/>
  <c r="H51" i="20" s="1"/>
  <c r="K89" i="21"/>
  <c r="L89" i="21" s="1"/>
  <c r="D51" i="20" s="1"/>
  <c r="F61" i="23"/>
  <c r="G63" i="23" s="1"/>
  <c r="G52" i="20" s="1"/>
  <c r="B56" i="21"/>
  <c r="F56" i="21" s="1"/>
  <c r="N26" i="21"/>
  <c r="H27" i="21"/>
  <c r="J26" i="21"/>
  <c r="C27" i="21"/>
  <c r="C28" i="21" s="1"/>
  <c r="U60" i="20" l="1"/>
  <c r="D52" i="20" s="1"/>
  <c r="H52" i="20" s="1"/>
  <c r="I52" i="20" s="1"/>
  <c r="I53" i="20" s="1"/>
  <c r="J28" i="21"/>
  <c r="N27" i="21"/>
  <c r="B57" i="21"/>
  <c r="F57" i="21" s="1"/>
  <c r="H28" i="21"/>
  <c r="I28" i="21" s="1"/>
  <c r="K28" i="21" s="1"/>
  <c r="L28" i="21" s="1"/>
  <c r="M28" i="21" s="1"/>
  <c r="Q61" i="20" l="1"/>
  <c r="I60" i="20"/>
  <c r="E31" i="21"/>
  <c r="E32" i="21" s="1"/>
  <c r="N28" i="21"/>
  <c r="B58" i="21"/>
  <c r="F58" i="21" s="1"/>
</calcChain>
</file>

<file path=xl/sharedStrings.xml><?xml version="1.0" encoding="utf-8"?>
<sst xmlns="http://schemas.openxmlformats.org/spreadsheetml/2006/main" count="1983" uniqueCount="267">
  <si>
    <t>von</t>
  </si>
  <si>
    <t>bis</t>
  </si>
  <si>
    <t>Bruttosteuer</t>
  </si>
  <si>
    <t>Zeiteinheiten</t>
  </si>
  <si>
    <t>monatl. Einkommensklassen</t>
  </si>
  <si>
    <t>kumulierte Steuer</t>
  </si>
  <si>
    <t>jährliche Einkommensklassen</t>
  </si>
  <si>
    <t>Steuersatz 
%</t>
  </si>
  <si>
    <t>Bruttolohnsteuer</t>
  </si>
  <si>
    <t>Eintrittsdatum
Data assunzione:</t>
  </si>
  <si>
    <t>Geburtsort
Luogo di nascita:</t>
  </si>
  <si>
    <t>Kontingenzzulage
Indennità di contingenza</t>
  </si>
  <si>
    <t>Dienstalterszulage
Indennità di anzianità</t>
  </si>
  <si>
    <t>Funktionszulage
Indennità di funzione</t>
  </si>
  <si>
    <t xml:space="preserve">EDR / Prov.Elem.
Elemento distinto </t>
  </si>
  <si>
    <t>freiwilliger Mehrlohn
Superminimo</t>
  </si>
  <si>
    <t>Grundlohn 
Retribuzione base</t>
  </si>
  <si>
    <t>Stundendivisor
Divisore ore</t>
  </si>
  <si>
    <t>Tagesdivisor
Divisore gg.</t>
  </si>
  <si>
    <t>Stundensatz
Retribuzione oraria</t>
  </si>
  <si>
    <t>Tagessatz
Retribuzione giornaliera</t>
  </si>
  <si>
    <t>INPS-Tage
gg. INPS</t>
  </si>
  <si>
    <t>Monatlicher Gesamtbetrag
Totale mensile</t>
  </si>
  <si>
    <t>Effektive Arbeitsstunden
ore di lavoro effettive</t>
  </si>
  <si>
    <t>Effektive Arbeitstage
gg. di lavoro effettivi</t>
  </si>
  <si>
    <t>Resturlaub
Ferie non godute</t>
  </si>
  <si>
    <t>Angereifter Urlaub
Ferie maturate</t>
  </si>
  <si>
    <t>Genossener Urlaub
Ferie godute</t>
  </si>
  <si>
    <t>Beschreibung / Descrizione</t>
  </si>
  <si>
    <t>Std./ Tage / Monat
ore / gg. / mese</t>
  </si>
  <si>
    <t>Einheitswerte
Valori unitari</t>
  </si>
  <si>
    <t>Aufschläge / Abzüge %
Aumenti / Detrazioni %</t>
  </si>
  <si>
    <r>
      <t xml:space="preserve">Rate / Rata  </t>
    </r>
    <r>
      <rPr>
        <sz val="8"/>
        <rFont val="Arial"/>
        <family val="2"/>
      </rPr>
      <t>1 -</t>
    </r>
  </si>
  <si>
    <t>Gesamt-Totale</t>
  </si>
  <si>
    <t>Steuer-GL brutto
Imponibile lordo</t>
  </si>
  <si>
    <t>Steuerabsetzbeträge
Detrazioni d'imposta</t>
  </si>
  <si>
    <t>Nettosteuer
Imposta netta</t>
  </si>
  <si>
    <t>Steuergrundlage
Imponibile</t>
  </si>
  <si>
    <t>Abfertigung lfd. Jahr
TFR anno corrente</t>
  </si>
  <si>
    <t>Steuer auf Abfertigung
Imposta su TFR</t>
  </si>
  <si>
    <t>Pensionsfonds 0,5%
Fondo pensione 0,5%</t>
  </si>
  <si>
    <t>Rundung Vorperiode
Arrotondamento preced.</t>
  </si>
  <si>
    <t>Rundung lfd. Periode
Arrotondamento attuale</t>
  </si>
  <si>
    <t>AUSZUZAHLENDER NETTOBETRAG / STIPENDIO NETTO PAGATO</t>
  </si>
  <si>
    <t>Std-ore</t>
  </si>
  <si>
    <t>Tage-gg.</t>
  </si>
  <si>
    <t>Monat-mese</t>
  </si>
  <si>
    <t>Periode / Periodo:</t>
  </si>
  <si>
    <r>
      <t xml:space="preserve">Rate / Rata  </t>
    </r>
    <r>
      <rPr>
        <sz val="8"/>
        <rFont val="Arial"/>
        <family val="2"/>
      </rPr>
      <t>2 -</t>
    </r>
  </si>
  <si>
    <r>
      <t xml:space="preserve">Rate / Rata  </t>
    </r>
    <r>
      <rPr>
        <sz val="8"/>
        <rFont val="Arial"/>
        <family val="2"/>
      </rPr>
      <t>3 -</t>
    </r>
  </si>
  <si>
    <r>
      <t xml:space="preserve">Rate / Rata  </t>
    </r>
    <r>
      <rPr>
        <sz val="8"/>
        <rFont val="Arial"/>
        <family val="2"/>
      </rPr>
      <t>4 -</t>
    </r>
  </si>
  <si>
    <r>
      <t xml:space="preserve">Rate / Rata  </t>
    </r>
    <r>
      <rPr>
        <sz val="8"/>
        <rFont val="Arial"/>
        <family val="2"/>
      </rPr>
      <t>5 -</t>
    </r>
  </si>
  <si>
    <r>
      <t xml:space="preserve">Rate / Rata  </t>
    </r>
    <r>
      <rPr>
        <sz val="8"/>
        <rFont val="Arial"/>
        <family val="2"/>
      </rPr>
      <t>6 -</t>
    </r>
  </si>
  <si>
    <r>
      <t xml:space="preserve">Rate / Rata  </t>
    </r>
    <r>
      <rPr>
        <sz val="8"/>
        <rFont val="Arial"/>
        <family val="2"/>
      </rPr>
      <t>7 -</t>
    </r>
  </si>
  <si>
    <r>
      <t xml:space="preserve">Rate / Rata  </t>
    </r>
    <r>
      <rPr>
        <sz val="8"/>
        <rFont val="Arial"/>
        <family val="2"/>
      </rPr>
      <t>8 -</t>
    </r>
  </si>
  <si>
    <t xml:space="preserve">Grundlage / Imponibile  </t>
  </si>
  <si>
    <t>Berechnung des Steuerfreiraumes - Calcolo della "no tax area"</t>
  </si>
  <si>
    <t>Fixdaten - Dati fissi</t>
  </si>
  <si>
    <t>Jahr
anno</t>
  </si>
  <si>
    <t>Monate
mesi</t>
  </si>
  <si>
    <t>Tage
giorni</t>
  </si>
  <si>
    <t>Basisbetrag
Importo base</t>
  </si>
  <si>
    <t>zusätzlicher Basisbetrag
Importo base supplementare</t>
  </si>
  <si>
    <t>jährl.Fixbetrag für Berechn. Formel
Importo fisso annuale per calcolo formula</t>
  </si>
  <si>
    <t>Monate
Mesi</t>
  </si>
  <si>
    <t>Steuer-GL brutto
Imponibile lordo</t>
  </si>
  <si>
    <t>Steuer-GL brutto progressiv
Imponibile lordo progressivo</t>
  </si>
  <si>
    <t>Koeffizient
Coeficiente</t>
  </si>
  <si>
    <t>maximaler  Freibetrag            Art.10bis (Koeffizient=1)
Detrazione massima Art.10bis 
(Coefficiente=1)</t>
  </si>
  <si>
    <t>theoretischer Freibetrag Art.10 bis (progressiv)
Detrazione teorica Art.10bis
(progressiva)</t>
  </si>
  <si>
    <t>effektiver Freibetrag Art.10bis (progressiv)
Detrazione effettiva Art.10bis (progressiva)</t>
  </si>
  <si>
    <t>effektiver monatl. Freibetrag Art.10bis (=Lohnblatt)
Detrazione mensile effettiva Art.10bis
(=foglio paga)</t>
  </si>
  <si>
    <t>Imponibile per l'addizionale IRPEF regionale e comunale</t>
  </si>
  <si>
    <t>Absetzbare Aufwendungen Art. 10 
Detrazioni dal reddito - Art. 10</t>
  </si>
  <si>
    <t>Absetzbare Aufwendungen Art. 10 (progressiv)
Detrazioni dal reddito - Art. 10
(progressivo)</t>
  </si>
  <si>
    <t>Steuer-GL Zusatzsteuer Region / Gem.
Imponibile addizionale region./comun.</t>
  </si>
  <si>
    <t>Grundlage für Regional- und Gemeindezusatzsteuer</t>
  </si>
  <si>
    <t>(laufendes Jahr  -  anno corrente)</t>
  </si>
  <si>
    <t>Debito anno precedente:</t>
  </si>
  <si>
    <t>Steuerschuld Vorjahr:</t>
  </si>
  <si>
    <t>Regionale Zusatzsteuer  -  Vorjahr</t>
  </si>
  <si>
    <t>Gemeindezusatzsteuer  -  Vorjahr</t>
  </si>
  <si>
    <t>Addizionale IRPEF comunale - anno precedente</t>
  </si>
  <si>
    <t>Addizionale IRPEF regionale - anno precedente</t>
  </si>
  <si>
    <t>zu berück-sichti-gende Monate
Mesi da consi-derare</t>
  </si>
  <si>
    <t>Monate pro-gressiv
Mesi pro-gressivi</t>
  </si>
  <si>
    <t>zu berücksichti-gende Tage
gg. da consi-derare</t>
  </si>
  <si>
    <t>Tage progressiv
gg. progressivi</t>
  </si>
  <si>
    <t>Belastung laufendes Jahr
Addebito anno corrente</t>
  </si>
  <si>
    <t>Restschuld
Debito residuo</t>
  </si>
  <si>
    <t>Monate
Mesi</t>
  </si>
  <si>
    <t>Berechnung auf Jahresbasis  -  Calcolo su base annua:</t>
  </si>
  <si>
    <t>Koeffizient / Coefficiente:</t>
  </si>
  <si>
    <t>Steuerfreiraum / no tax area:</t>
  </si>
  <si>
    <t>GL für Abfertigung
Imponibile TFR</t>
  </si>
  <si>
    <t>GL Abfertigung progressiv
Imponibile TFR progressivo</t>
  </si>
  <si>
    <t xml:space="preserve">Grundlage für Abfertigung  </t>
  </si>
  <si>
    <t>Imponibile per TFR</t>
  </si>
  <si>
    <t xml:space="preserve">
Pensionsfonds
Fondo pensione</t>
  </si>
  <si>
    <t>Pensionsfonds progressiv
Fondo pensione progressivo</t>
  </si>
  <si>
    <t xml:space="preserve"> Firmenbezeichnung
 Descrizione Ditta:</t>
  </si>
  <si>
    <t xml:space="preserve"> Sitz - Sede:</t>
  </si>
  <si>
    <t xml:space="preserve"> Mwst-Position
 Partita IVA</t>
  </si>
  <si>
    <t xml:space="preserve"> Steuer-Nr.
 Codice fiscale:</t>
  </si>
  <si>
    <t xml:space="preserve"> Matr. INPS:</t>
  </si>
  <si>
    <t xml:space="preserve"> Matr. INAIL:</t>
  </si>
  <si>
    <t xml:space="preserve"> LOHNSTREIFEN / CEDOLINO PAGHE</t>
  </si>
  <si>
    <t xml:space="preserve"> Arbeitgeber / Datore di lavoro:</t>
  </si>
  <si>
    <t xml:space="preserve"> Fixe Lohnelemente / Elementi fissi della retribuzione:</t>
  </si>
  <si>
    <t xml:space="preserve"> BRUTTOENTLOHNUNG / RETRIBUZIONE LORDA</t>
  </si>
  <si>
    <t xml:space="preserve"> Krankengeld zu Lasten INPS /  Indennità di malattia a carico INPS</t>
  </si>
  <si>
    <t xml:space="preserve"> Mutterschaftsgeld zu Lasten INPS /  Indennità di maternità a carico INPS </t>
  </si>
  <si>
    <t xml:space="preserve"> Absetzbare Aufwendungen vom Einkommen - Art. 10 / Detrazioni dal reddito - Art. 10</t>
  </si>
  <si>
    <t xml:space="preserve"> Lohnsteuergrundlage netto / Imponibile fiscale netto</t>
  </si>
  <si>
    <t xml:space="preserve"> laufendes Jahr (bei Austritt) / anno corrente (in caso di licenziamento)</t>
  </si>
  <si>
    <t xml:space="preserve"> Vorjahr Monatsraten / anno prec.rate mensili </t>
  </si>
  <si>
    <t xml:space="preserve"> Jahresausgl./ Conguaglio annuale:</t>
  </si>
  <si>
    <t xml:space="preserve"> progressive Daten / dati progressivi</t>
  </si>
  <si>
    <t xml:space="preserve"> Daten auf Jahresbasis / dati su base annua</t>
  </si>
  <si>
    <t xml:space="preserve"> NETTOENTLOHNUNG / STIPENDIO NETTO</t>
  </si>
  <si>
    <t xml:space="preserve"> Abfertigung
 Indennità TFR</t>
  </si>
  <si>
    <t xml:space="preserve"> Steuer auf Abf.
 Imposta su TFR</t>
  </si>
  <si>
    <t xml:space="preserve"> Aufwertung
 Rivalutazione</t>
  </si>
  <si>
    <t xml:space="preserve"> Rundungen / Arrotondamenti</t>
  </si>
  <si>
    <t>Abfertigungsfonds Vorj.
TFR anno precedente</t>
  </si>
  <si>
    <t>Aufwertung Abf.Fonds
Rivalutaz. Fondo TFR</t>
  </si>
  <si>
    <t xml:space="preserve"> Name-Vorname:
 Cognome-Nome:</t>
  </si>
  <si>
    <t xml:space="preserve"> Anschrift -I ndirizzo:</t>
  </si>
  <si>
    <t xml:space="preserve"> Matr.Nr.- no.matr.:</t>
  </si>
  <si>
    <t xml:space="preserve"> Geburtsdatum
 Data di nascita:</t>
  </si>
  <si>
    <t xml:space="preserve"> Einstufung
 Qualifica:</t>
  </si>
  <si>
    <t xml:space="preserve"> Vertrag  %
 Contratto  %</t>
  </si>
  <si>
    <t xml:space="preserve"> Arbeitnehmer / Dipendente:</t>
  </si>
  <si>
    <t>Mitarbeiterdaten 1  -  Dati dipendenti 1</t>
  </si>
  <si>
    <t>Arbeitstage des Monats
gg. lavorativi del mese</t>
  </si>
  <si>
    <t>Tage des Monats
Giorni del mese</t>
  </si>
  <si>
    <r>
      <t xml:space="preserve">im Fall von </t>
    </r>
    <r>
      <rPr>
        <b/>
        <sz val="9"/>
        <color indexed="10"/>
        <rFont val="Arial"/>
        <family val="2"/>
      </rPr>
      <t>Neueintritt / Austritt</t>
    </r>
    <r>
      <rPr>
        <sz val="9"/>
        <rFont val="Arial"/>
        <family val="2"/>
      </rPr>
      <t xml:space="preserve">
in caso di </t>
    </r>
    <r>
      <rPr>
        <b/>
        <sz val="9"/>
        <color indexed="10"/>
        <rFont val="Arial"/>
        <family val="2"/>
      </rPr>
      <t>assunzione</t>
    </r>
    <r>
      <rPr>
        <sz val="9"/>
        <rFont val="Arial"/>
        <family val="2"/>
      </rPr>
      <t xml:space="preserve"> </t>
    </r>
    <r>
      <rPr>
        <sz val="9"/>
        <color indexed="10"/>
        <rFont val="Arial"/>
        <family val="2"/>
      </rPr>
      <t>/</t>
    </r>
    <r>
      <rPr>
        <sz val="9"/>
        <rFont val="Arial"/>
        <family val="2"/>
      </rPr>
      <t xml:space="preserve"> </t>
    </r>
    <r>
      <rPr>
        <b/>
        <sz val="9"/>
        <color indexed="10"/>
        <rFont val="Arial"/>
        <family val="2"/>
      </rPr>
      <t>licenziamento</t>
    </r>
  </si>
  <si>
    <t xml:space="preserve"> Vorjahr Monatsraten / anno prec.rate mens.</t>
  </si>
  <si>
    <t xml:space="preserve"> Daten Jahresbasis / dati su base annua</t>
  </si>
  <si>
    <t xml:space="preserve"> Jahresausgl./ Conguaglio ann.:</t>
  </si>
  <si>
    <t>Kalendertage des Monats
giorni del mese</t>
  </si>
  <si>
    <t xml:space="preserve"> Regionaler Steuerzuschlag IRPEF / Addizionale IRPEF regionale</t>
  </si>
  <si>
    <t xml:space="preserve"> Gemeindezusatzsteuer / Addizionale IRPEF comunale</t>
  </si>
  <si>
    <t xml:space="preserve"> Lohnsteuer brutto / IRPEF lorda lavoro dipendente</t>
  </si>
  <si>
    <t>Steuerabsetzbetrag abhängige Arbeit / Detrazione d'imposta lavoro dipendente</t>
  </si>
  <si>
    <t>Steuerabsetzbetrag Familienlasten / Detrazione d'imposta familiari a carico</t>
  </si>
  <si>
    <t xml:space="preserve"> Lohnsteuer netto / IRPEF netta lavoro dipendente</t>
  </si>
  <si>
    <t xml:space="preserve"> Akonto / acconto</t>
  </si>
  <si>
    <r>
      <t xml:space="preserve">Rate / Rata  </t>
    </r>
    <r>
      <rPr>
        <sz val="8"/>
        <rFont val="Arial"/>
        <family val="2"/>
      </rPr>
      <t>1</t>
    </r>
    <r>
      <rPr>
        <sz val="6"/>
        <rFont val="Arial"/>
        <family val="2"/>
      </rPr>
      <t xml:space="preserve"> von</t>
    </r>
  </si>
  <si>
    <t>Rate / Rata  7 -</t>
  </si>
  <si>
    <t>Gemeindezusatzsteuer  -  Akonto</t>
  </si>
  <si>
    <t>Addizionale IRPEF comunale - acconto</t>
  </si>
  <si>
    <t>monatliche Steuergrundlage</t>
  </si>
  <si>
    <t>kumulierte Steuergrund-
lage</t>
  </si>
  <si>
    <t>monatliche Bruttosteuer</t>
  </si>
  <si>
    <t>Bruttosteuer kumuliet</t>
  </si>
  <si>
    <t>monatlicher Absetzbatrag abhängige Arbeit</t>
  </si>
  <si>
    <t>Absetzbatrag abhängige Arbeit kumuliert</t>
  </si>
  <si>
    <t>monatlicher Absetzbetrag für zu Lasten lebende Personen</t>
  </si>
  <si>
    <t>Absetzbetrag für zu Lasten lebende Personen
kumuliert</t>
  </si>
  <si>
    <t>Bruttosteuer
Imposta lorda</t>
  </si>
  <si>
    <t>Absetzb. abh. Arbeit
detr. lavoro dipend.</t>
  </si>
  <si>
    <t>Absetzb.Pers.zu Lasten
detraz.persone a carico</t>
  </si>
  <si>
    <t>Nettosteuer kumuliert</t>
  </si>
  <si>
    <t>Einkommensklassen</t>
  </si>
  <si>
    <t>Absetzbetrag für abhängige Arbeit</t>
  </si>
  <si>
    <t>+</t>
  </si>
  <si>
    <t>502 x (15.000 - Gesamteinkommen) / 7.000</t>
  </si>
  <si>
    <t>x</t>
  </si>
  <si>
    <t>[(55.000 - Gesamteinkommen) / 40.000]</t>
  </si>
  <si>
    <t>[(55.000 - Gesamteinkommen) / 40.000]    +</t>
  </si>
  <si>
    <t>Absetzbetrag für zu Lasten lebenden Ehepartner</t>
  </si>
  <si>
    <t>-</t>
  </si>
  <si>
    <t>[110 x (Gesamteinkommen / 15.000)]</t>
  </si>
  <si>
    <t>[(80.000 - Gesamteinkommen) / 40.000]</t>
  </si>
  <si>
    <t>kein Absetzbetrag</t>
  </si>
  <si>
    <t>Absetzbetrag für zu Lasten lebende Kinder (auf Jahresbasis) - per figli a carico (su base annua)</t>
  </si>
  <si>
    <t>Kinder &lt; 3 Jahren</t>
  </si>
  <si>
    <t>für jedes Kind unter 3 Jahren</t>
  </si>
  <si>
    <t>Kinder &gt;= 3 Jahren</t>
  </si>
  <si>
    <t>für jedes Kind ab 3 Jahren</t>
  </si>
  <si>
    <t>Zuschlag &gt;= 4 Kinder</t>
  </si>
  <si>
    <t>Erhöhung je Kind mit Behinderung</t>
  </si>
  <si>
    <t>Erhöhung bei mehr als 3 Kindern</t>
  </si>
  <si>
    <t>(gilt für jedes Kind)</t>
  </si>
  <si>
    <t>1.Kind (fehlender Ehep.)</t>
  </si>
  <si>
    <t>Gesamt</t>
  </si>
  <si>
    <t xml:space="preserve">  jährl. Abzug  x  </t>
  </si>
  <si>
    <t>(95.000 + 15.000 x Anzahl Kinder - 15.000) - Gesamteinkommen</t>
  </si>
  <si>
    <t>Quotient</t>
  </si>
  <si>
    <t>(95.000 + 15.000 x Anzahl Kinder - 15.000)</t>
  </si>
  <si>
    <t>Absetzbetrag</t>
  </si>
  <si>
    <t>Absetzbetrag für andere zu Lasten lebenden Personen</t>
  </si>
  <si>
    <t>[(80.000 - Gesamteinkommen) / 80.000]</t>
  </si>
  <si>
    <t>effektives  
Gesamteinkommen</t>
  </si>
  <si>
    <t>Absetzbetrag für abhängige Arbeit auf Jahresbasis</t>
  </si>
  <si>
    <t>Absetzbetrag für zu Lasten lebende Kinder</t>
  </si>
  <si>
    <t>Absetzbetrag für zu Lasten lebende andere Personen</t>
  </si>
  <si>
    <t>Anzahl Personen</t>
  </si>
  <si>
    <t>Absetzbetrag pro Person</t>
  </si>
  <si>
    <t>Absetzbetrag gesamt</t>
  </si>
  <si>
    <t>Ehepartner zu Lasten</t>
  </si>
  <si>
    <t>andere Personen</t>
  </si>
  <si>
    <t>(Anzahl)</t>
  </si>
  <si>
    <t>(ja - nein)</t>
  </si>
  <si>
    <t>ja</t>
  </si>
  <si>
    <t>nein</t>
  </si>
  <si>
    <t>(Anzahl gemeldete Tage manuell eingeben)
(gg.denunciati da inserire manualmente)</t>
  </si>
  <si>
    <t>Berechnungen für Freibeträge  -  Steuerausgleich</t>
  </si>
  <si>
    <t>Monatl. Gesamtbetrag
Totale mensile</t>
  </si>
  <si>
    <t>zu Lasten lebende Personen</t>
  </si>
  <si>
    <t xml:space="preserve">Summe jährliche Steuerabsetz-
beträge für zu Lasten lebende Personen
Somma detrazioni annue dal reddito per persone a carico 
</t>
  </si>
  <si>
    <r>
      <t xml:space="preserve">Ehepartner
</t>
    </r>
    <r>
      <rPr>
        <b/>
        <sz val="7"/>
        <rFont val="Arial"/>
        <family val="2"/>
      </rPr>
      <t xml:space="preserve">zu Lasten
</t>
    </r>
    <r>
      <rPr>
        <sz val="7"/>
        <rFont val="Arial"/>
        <family val="2"/>
      </rPr>
      <t xml:space="preserve">(€ 2.840,51)
</t>
    </r>
    <r>
      <rPr>
        <b/>
        <sz val="7"/>
        <rFont val="Arial"/>
        <family val="2"/>
      </rPr>
      <t>(ja / nein)</t>
    </r>
  </si>
  <si>
    <r>
      <t xml:space="preserve">Ehepartner
</t>
    </r>
    <r>
      <rPr>
        <b/>
        <sz val="7"/>
        <rFont val="Arial"/>
        <family val="2"/>
      </rPr>
      <t>fehlt</t>
    </r>
    <r>
      <rPr>
        <sz val="7"/>
        <rFont val="Arial"/>
        <family val="2"/>
      </rPr>
      <t xml:space="preserve">
</t>
    </r>
    <r>
      <rPr>
        <b/>
        <sz val="7"/>
        <rFont val="Arial"/>
        <family val="2"/>
      </rPr>
      <t>(ja / nein)</t>
    </r>
  </si>
  <si>
    <t>Anzahl
Kinder
&lt;3 Jahre</t>
  </si>
  <si>
    <t>Anzahl
Kinder
&gt;=3 Jahre</t>
  </si>
  <si>
    <t>Anzahl
davon Kinder mit Behin-
derung</t>
  </si>
  <si>
    <t>Anzahl
andere zu Lasten lebende Personen</t>
  </si>
  <si>
    <t>Vertragsvakanz
Vacanza contratto</t>
  </si>
  <si>
    <r>
      <t>Rate / Rata  3</t>
    </r>
    <r>
      <rPr>
        <sz val="6"/>
        <rFont val="Arial"/>
        <family val="2"/>
      </rPr>
      <t xml:space="preserve"> von</t>
    </r>
  </si>
  <si>
    <r>
      <t xml:space="preserve">Rate / Rata </t>
    </r>
    <r>
      <rPr>
        <sz val="8"/>
        <rFont val="Arial"/>
        <family val="2"/>
      </rPr>
      <t xml:space="preserve"> 2</t>
    </r>
    <r>
      <rPr>
        <sz val="6"/>
        <rFont val="Arial"/>
        <family val="2"/>
      </rPr>
      <t xml:space="preserve"> von</t>
    </r>
  </si>
  <si>
    <r>
      <t xml:space="preserve">Rate / Rata </t>
    </r>
    <r>
      <rPr>
        <sz val="8"/>
        <rFont val="Arial"/>
        <family val="2"/>
      </rPr>
      <t>4</t>
    </r>
    <r>
      <rPr>
        <sz val="6"/>
        <rFont val="Arial"/>
        <family val="2"/>
      </rPr>
      <t xml:space="preserve"> von</t>
    </r>
  </si>
  <si>
    <r>
      <t xml:space="preserve">Rate / Rata  </t>
    </r>
    <r>
      <rPr>
        <sz val="8"/>
        <rFont val="Arial"/>
        <family val="2"/>
      </rPr>
      <t>5</t>
    </r>
    <r>
      <rPr>
        <sz val="6"/>
        <rFont val="Arial"/>
        <family val="2"/>
      </rPr>
      <t xml:space="preserve"> von</t>
    </r>
  </si>
  <si>
    <r>
      <t xml:space="preserve">Rate / Rata  </t>
    </r>
    <r>
      <rPr>
        <sz val="8"/>
        <rFont val="Arial"/>
        <family val="2"/>
      </rPr>
      <t>6</t>
    </r>
    <r>
      <rPr>
        <sz val="6"/>
        <rFont val="Arial"/>
        <family val="2"/>
      </rPr>
      <t xml:space="preserve"> von</t>
    </r>
  </si>
  <si>
    <r>
      <t xml:space="preserve">Rate / Rata </t>
    </r>
    <r>
      <rPr>
        <sz val="8"/>
        <rFont val="Arial"/>
        <family val="2"/>
      </rPr>
      <t>7</t>
    </r>
    <r>
      <rPr>
        <sz val="6"/>
        <rFont val="Arial"/>
        <family val="2"/>
      </rPr>
      <t xml:space="preserve"> von</t>
    </r>
  </si>
  <si>
    <r>
      <t xml:space="preserve">Rate / Rata  </t>
    </r>
    <r>
      <rPr>
        <sz val="8"/>
        <rFont val="Arial"/>
        <family val="2"/>
      </rPr>
      <t>8</t>
    </r>
    <r>
      <rPr>
        <sz val="6"/>
        <rFont val="Arial"/>
        <family val="2"/>
      </rPr>
      <t xml:space="preserve"> von</t>
    </r>
  </si>
  <si>
    <t>einheitliches 
Lohnbuch</t>
  </si>
  <si>
    <t>Kalendertage des Monats</t>
  </si>
  <si>
    <t>gearbeitete Normalstunden</t>
  </si>
  <si>
    <t>Überstunden / Feiertagsstd.</t>
  </si>
  <si>
    <t>Summen</t>
  </si>
  <si>
    <t>DAZ-Vorrückung
Scatti anzianità:</t>
  </si>
  <si>
    <t>Austrittsdatum
Data licenz.</t>
  </si>
  <si>
    <t>Bezüge / Abzüge
Compet. / Detrazioni</t>
  </si>
  <si>
    <t xml:space="preserve"> Bilaterale Körperschaft - Ente Bilaterale</t>
  </si>
  <si>
    <t xml:space="preserve"> ASCOM-COVELCO</t>
  </si>
  <si>
    <t xml:space="preserve"> INPS  -  zu Lasten Arbeitnehmer / a carico dipendente</t>
  </si>
  <si>
    <t xml:space="preserve"> Zusatzrentenfonds - Fondi di previdenza supplementare</t>
  </si>
  <si>
    <t>behinderte Kinder &lt;3 J.</t>
  </si>
  <si>
    <t>behinderte Kinder &gt;=3 J.</t>
  </si>
  <si>
    <t>Kinder behindert &lt;3 J.</t>
  </si>
  <si>
    <t>Kinder behindert &gt;=3 J.</t>
  </si>
  <si>
    <t xml:space="preserve"> Steuerbonus abhängige Arbeit</t>
  </si>
  <si>
    <t>Rate / Rata  1 -</t>
  </si>
  <si>
    <t>Rate / Rata  2 -</t>
  </si>
  <si>
    <t>Rate / Rata  3 -</t>
  </si>
  <si>
    <t>Rate / Rata  4 -</t>
  </si>
  <si>
    <t>Rate / Rata  5 -</t>
  </si>
  <si>
    <t>Rate / Rata  6 -</t>
  </si>
  <si>
    <t>Rate / Rata  8 -</t>
  </si>
  <si>
    <t>Rate / Rata  9 -</t>
  </si>
  <si>
    <r>
      <t xml:space="preserve">im Fall von </t>
    </r>
    <r>
      <rPr>
        <b/>
        <sz val="9"/>
        <rFont val="Arial"/>
        <family val="2"/>
      </rPr>
      <t>Neueintritt / Austritt</t>
    </r>
    <r>
      <rPr>
        <sz val="9"/>
        <rFont val="Arial"/>
        <family val="2"/>
      </rPr>
      <t xml:space="preserve">
in caso di </t>
    </r>
    <r>
      <rPr>
        <b/>
        <sz val="9"/>
        <rFont val="Arial"/>
        <family val="2"/>
      </rPr>
      <t>assunzione</t>
    </r>
    <r>
      <rPr>
        <sz val="9"/>
        <rFont val="Arial"/>
        <family val="2"/>
      </rPr>
      <t xml:space="preserve"> / </t>
    </r>
    <r>
      <rPr>
        <b/>
        <sz val="9"/>
        <rFont val="Arial"/>
        <family val="2"/>
      </rPr>
      <t>licenziamento</t>
    </r>
  </si>
  <si>
    <r>
      <t xml:space="preserve">Rate / Rata  </t>
    </r>
    <r>
      <rPr>
        <sz val="8"/>
        <rFont val="Arial"/>
        <family val="2"/>
      </rPr>
      <t>9</t>
    </r>
    <r>
      <rPr>
        <sz val="6"/>
        <rFont val="Arial"/>
        <family val="2"/>
      </rPr>
      <t xml:space="preserve"> von</t>
    </r>
  </si>
  <si>
    <r>
      <t xml:space="preserve">Rate / Rata  </t>
    </r>
    <r>
      <rPr>
        <sz val="8"/>
        <rFont val="Arial"/>
        <family val="2"/>
      </rPr>
      <t>9 -</t>
    </r>
  </si>
  <si>
    <r>
      <t xml:space="preserve">Rate / Rata  </t>
    </r>
    <r>
      <rPr>
        <sz val="8"/>
        <rFont val="Arial"/>
        <family val="2"/>
      </rPr>
      <t>10</t>
    </r>
    <r>
      <rPr>
        <sz val="6"/>
        <rFont val="Arial"/>
        <family val="2"/>
      </rPr>
      <t xml:space="preserve"> von</t>
    </r>
  </si>
  <si>
    <r>
      <t xml:space="preserve">Rate / Rata  </t>
    </r>
    <r>
      <rPr>
        <sz val="8"/>
        <rFont val="Arial"/>
        <family val="2"/>
      </rPr>
      <t>10 -</t>
    </r>
  </si>
  <si>
    <r>
      <t xml:space="preserve">Rate / Rata  </t>
    </r>
    <r>
      <rPr>
        <sz val="8"/>
        <rFont val="Arial"/>
        <family val="2"/>
      </rPr>
      <t>11</t>
    </r>
    <r>
      <rPr>
        <sz val="6"/>
        <rFont val="Arial"/>
        <family val="2"/>
      </rPr>
      <t xml:space="preserve"> von</t>
    </r>
  </si>
  <si>
    <r>
      <t xml:space="preserve">Rate / Rata  </t>
    </r>
    <r>
      <rPr>
        <sz val="8"/>
        <rFont val="Arial"/>
        <family val="2"/>
      </rPr>
      <t>11 -</t>
    </r>
  </si>
  <si>
    <t xml:space="preserve"> Fondo EST</t>
  </si>
  <si>
    <t>Anger. Freistellungen
Permessi maturati</t>
  </si>
  <si>
    <t>Genoss. Freistellungen
Permessi goduti</t>
  </si>
  <si>
    <t>Restl. Freistellungen
Permessi non goduti</t>
  </si>
  <si>
    <t>Ersatzsteuer 17%
Imposta sostit. riv. TFR</t>
  </si>
  <si>
    <t>Nettosteuer</t>
  </si>
  <si>
    <t>Urlaub in Stunden</t>
  </si>
  <si>
    <t>Freistellungen in Stunden</t>
  </si>
  <si>
    <t>Krankheit-Unfall-Mutterschaft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</si>
</sst>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9">
    <numFmt numFmtId="164" formatCode="_-* #,##0.00\ _L_._-;\-* #,##0.00\ _L_._-;_-* &quot;-&quot;??\ _L_._-;_-@_-"/>
    <numFmt numFmtId="165" formatCode="_-* #,##0\ _D_M_-;\-* #,##0\ _D_M_-;_-* &quot;-&quot;??\ _D_M_-;_-@_-"/>
    <numFmt numFmtId="166" formatCode="0.0%"/>
    <numFmt numFmtId="167" formatCode="0.0000"/>
    <numFmt numFmtId="168" formatCode="#,##0__"/>
    <numFmt numFmtId="169" formatCode="#,##0.00&quot; &quot;"/>
    <numFmt numFmtId="170" formatCode="#,##0.00\ &quot; &quot;"/>
    <numFmt numFmtId="171" formatCode="#,##0.00&quot;     &quot;"/>
    <numFmt numFmtId="172" formatCode="#,##0.00000"/>
    <numFmt numFmtId="173" formatCode="0&quot;. Gehaltsstufe&quot;"/>
    <numFmt numFmtId="174" formatCode="#,##0.00\ &quot;€&quot;"/>
    <numFmt numFmtId="175" formatCode="0.00%&quot;   &quot;"/>
    <numFmt numFmtId="176" formatCode="0&quot;    &quot;"/>
    <numFmt numFmtId="177" formatCode="#,##0.00&quot;  &quot;"/>
    <numFmt numFmtId="178" formatCode="0.00&quot; &quot;"/>
    <numFmt numFmtId="179" formatCode="0.000%"/>
    <numFmt numFmtId="180" formatCode="0.00%\ &quot;von&quot;"/>
    <numFmt numFmtId="181" formatCode="#,##0.00_ ;\-#,##0.00\ "/>
    <numFmt numFmtId="182" formatCode="&quot;= &quot;#,##0.00&quot; €&quot;"/>
    <numFmt numFmtId="183" formatCode="&quot;Akonto gesamt &quot;0.00&quot;%&quot;"/>
    <numFmt numFmtId="184" formatCode="&quot;Acconto totale &quot;0.00&quot;%&quot;"/>
    <numFmt numFmtId="185" formatCode="#,##0&quot;   &quot;"/>
    <numFmt numFmtId="186" formatCode="_-* #,##0.00\ [$€]_-;\-* #,##0.00\ [$€]_-;_-* &quot;-&quot;??\ [$€]_-;_-@_-"/>
    <numFmt numFmtId="187" formatCode="0.00&quot; €&quot;"/>
    <numFmt numFmtId="188" formatCode="0.0000&quot;  &quot;"/>
    <numFmt numFmtId="189" formatCode="0&quot;  &quot;"/>
    <numFmt numFmtId="190" formatCode="#,##0.00000&quot; &quot;"/>
    <numFmt numFmtId="191" formatCode="mmm\-yyyy"/>
    <numFmt numFmtId="192" formatCode="#,##0.00&quot;% &quot;"/>
  </numFmts>
  <fonts count="36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7"/>
      <name val="Arial"/>
      <family val="2"/>
    </font>
    <font>
      <sz val="9"/>
      <name val="Arial"/>
      <family val="2"/>
    </font>
    <font>
      <sz val="7"/>
      <name val="Arial"/>
      <family val="2"/>
    </font>
    <font>
      <sz val="9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b/>
      <sz val="8"/>
      <name val="Arial"/>
      <family val="2"/>
    </font>
    <font>
      <b/>
      <sz val="9"/>
      <name val="Arial"/>
      <family val="2"/>
    </font>
    <font>
      <b/>
      <sz val="10"/>
      <name val="Arial"/>
      <family val="2"/>
    </font>
    <font>
      <sz val="6"/>
      <name val="Arial"/>
      <family val="2"/>
    </font>
    <font>
      <b/>
      <sz val="7"/>
      <name val="Arial"/>
      <family val="2"/>
    </font>
    <font>
      <sz val="8"/>
      <name val="Verdana"/>
      <family val="2"/>
    </font>
    <font>
      <b/>
      <sz val="7"/>
      <name val="Verdana"/>
      <family val="2"/>
    </font>
    <font>
      <i/>
      <sz val="6"/>
      <name val="Arial"/>
      <family val="2"/>
    </font>
    <font>
      <b/>
      <i/>
      <sz val="9"/>
      <name val="Arial"/>
      <family val="2"/>
    </font>
    <font>
      <sz val="5"/>
      <name val="Arial"/>
      <family val="2"/>
    </font>
    <font>
      <b/>
      <sz val="6"/>
      <name val="Arial"/>
      <family val="2"/>
    </font>
    <font>
      <b/>
      <i/>
      <sz val="8"/>
      <name val="Arial"/>
      <family val="2"/>
    </font>
    <font>
      <i/>
      <sz val="9"/>
      <name val="Arial"/>
      <family val="2"/>
    </font>
    <font>
      <sz val="6"/>
      <name val="Arial"/>
      <family val="2"/>
    </font>
    <font>
      <b/>
      <sz val="12"/>
      <name val="Arial"/>
      <family val="2"/>
    </font>
    <font>
      <b/>
      <i/>
      <sz val="11"/>
      <name val="Arial"/>
      <family val="2"/>
    </font>
    <font>
      <i/>
      <sz val="8"/>
      <name val="Arial"/>
      <family val="2"/>
    </font>
    <font>
      <i/>
      <sz val="5"/>
      <name val="Arial"/>
      <family val="2"/>
    </font>
    <font>
      <b/>
      <sz val="11"/>
      <color indexed="10"/>
      <name val="Arial"/>
      <family val="2"/>
    </font>
    <font>
      <b/>
      <sz val="9"/>
      <color indexed="10"/>
      <name val="Arial"/>
      <family val="2"/>
    </font>
    <font>
      <sz val="9"/>
      <color indexed="10"/>
      <name val="Arial"/>
      <family val="2"/>
    </font>
    <font>
      <i/>
      <sz val="7"/>
      <name val="Arial"/>
      <family val="2"/>
    </font>
    <font>
      <sz val="7"/>
      <color indexed="10"/>
      <name val="Arial"/>
      <family val="2"/>
    </font>
    <font>
      <b/>
      <sz val="11"/>
      <color rgb="FFFF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rgb="FFFFFFCC"/>
        <bgColor indexed="64"/>
      </patternFill>
    </fill>
  </fills>
  <borders count="77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</borders>
  <cellStyleXfs count="7">
    <xf numFmtId="0" fontId="0" fillId="0" borderId="0"/>
    <xf numFmtId="164" fontId="1" fillId="0" borderId="0" applyFont="0" applyFill="0" applyBorder="0" applyAlignment="0" applyProtection="0"/>
    <xf numFmtId="186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</cellStyleXfs>
  <cellXfs count="681">
    <xf numFmtId="0" fontId="0" fillId="0" borderId="0" xfId="0"/>
    <xf numFmtId="0" fontId="0" fillId="0" borderId="0" xfId="0" applyAlignment="1">
      <alignment vertical="center"/>
    </xf>
    <xf numFmtId="0" fontId="0" fillId="0" borderId="1" xfId="0" applyBorder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3" fontId="0" fillId="0" borderId="0" xfId="0" applyNumberFormat="1" applyAlignment="1">
      <alignment vertical="center"/>
    </xf>
    <xf numFmtId="0" fontId="7" fillId="0" borderId="0" xfId="0" applyFont="1" applyAlignment="1">
      <alignment vertical="center"/>
    </xf>
    <xf numFmtId="0" fontId="11" fillId="0" borderId="0" xfId="0" applyFont="1" applyAlignment="1">
      <alignment horizontal="center" vertical="center"/>
    </xf>
    <xf numFmtId="0" fontId="5" fillId="0" borderId="2" xfId="0" applyFont="1" applyBorder="1" applyAlignment="1">
      <alignment vertical="center"/>
    </xf>
    <xf numFmtId="0" fontId="11" fillId="0" borderId="0" xfId="0" applyFont="1" applyAlignment="1">
      <alignment vertical="center"/>
    </xf>
    <xf numFmtId="0" fontId="7" fillId="0" borderId="2" xfId="0" applyFont="1" applyBorder="1" applyAlignment="1">
      <alignment vertical="center"/>
    </xf>
    <xf numFmtId="0" fontId="7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13" fillId="0" borderId="4" xfId="0" applyFont="1" applyBorder="1" applyAlignment="1">
      <alignment vertical="center" wrapText="1"/>
    </xf>
    <xf numFmtId="0" fontId="7" fillId="0" borderId="4" xfId="0" applyFont="1" applyBorder="1" applyAlignment="1">
      <alignment vertical="center"/>
    </xf>
    <xf numFmtId="0" fontId="12" fillId="0" borderId="2" xfId="0" applyFont="1" applyBorder="1" applyAlignment="1">
      <alignment vertical="center" wrapText="1"/>
    </xf>
    <xf numFmtId="3" fontId="5" fillId="0" borderId="5" xfId="0" applyNumberFormat="1" applyFont="1" applyBorder="1" applyAlignment="1">
      <alignment horizontal="right" vertical="center"/>
    </xf>
    <xf numFmtId="10" fontId="5" fillId="0" borderId="6" xfId="0" applyNumberFormat="1" applyFont="1" applyBorder="1" applyAlignment="1">
      <alignment horizontal="center" vertical="center"/>
    </xf>
    <xf numFmtId="0" fontId="12" fillId="0" borderId="7" xfId="0" applyFont="1" applyBorder="1" applyAlignment="1">
      <alignment vertical="center" wrapText="1"/>
    </xf>
    <xf numFmtId="168" fontId="5" fillId="0" borderId="8" xfId="0" applyNumberFormat="1" applyFont="1" applyBorder="1" applyAlignment="1">
      <alignment horizontal="left" vertical="center"/>
    </xf>
    <xf numFmtId="10" fontId="5" fillId="0" borderId="9" xfId="0" applyNumberFormat="1" applyFont="1" applyBorder="1" applyAlignment="1">
      <alignment horizontal="center" vertical="center"/>
    </xf>
    <xf numFmtId="0" fontId="13" fillId="0" borderId="10" xfId="0" applyFont="1" applyBorder="1" applyAlignment="1">
      <alignment vertical="center" wrapText="1"/>
    </xf>
    <xf numFmtId="0" fontId="5" fillId="0" borderId="2" xfId="0" applyFont="1" applyBorder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69" fontId="5" fillId="0" borderId="12" xfId="0" applyNumberFormat="1" applyFont="1" applyBorder="1" applyAlignment="1">
      <alignment horizontal="right" vertical="center"/>
    </xf>
    <xf numFmtId="169" fontId="5" fillId="0" borderId="13" xfId="0" applyNumberFormat="1" applyFont="1" applyBorder="1" applyAlignment="1" applyProtection="1">
      <alignment horizontal="center" vertical="center"/>
      <protection locked="0"/>
    </xf>
    <xf numFmtId="0" fontId="0" fillId="0" borderId="15" xfId="0" applyBorder="1" applyAlignment="1">
      <alignment vertical="center"/>
    </xf>
    <xf numFmtId="169" fontId="5" fillId="0" borderId="2" xfId="0" applyNumberFormat="1" applyFont="1" applyBorder="1" applyAlignment="1" applyProtection="1">
      <alignment vertical="center"/>
      <protection locked="0"/>
    </xf>
    <xf numFmtId="0" fontId="17" fillId="0" borderId="0" xfId="0" applyFont="1" applyAlignment="1">
      <alignment horizontal="center" vertical="center" wrapText="1"/>
    </xf>
    <xf numFmtId="0" fontId="0" fillId="0" borderId="16" xfId="0" applyBorder="1" applyAlignment="1">
      <alignment vertical="center"/>
    </xf>
    <xf numFmtId="0" fontId="2" fillId="0" borderId="0" xfId="0" applyFont="1" applyAlignment="1">
      <alignment vertical="center"/>
    </xf>
    <xf numFmtId="169" fontId="9" fillId="0" borderId="0" xfId="0" applyNumberFormat="1" applyFont="1" applyAlignment="1">
      <alignment vertical="center"/>
    </xf>
    <xf numFmtId="0" fontId="9" fillId="0" borderId="0" xfId="0" applyFont="1" applyAlignment="1">
      <alignment vertical="center"/>
    </xf>
    <xf numFmtId="0" fontId="9" fillId="0" borderId="17" xfId="0" applyFont="1" applyBorder="1" applyAlignment="1">
      <alignment horizontal="center" vertical="center"/>
    </xf>
    <xf numFmtId="169" fontId="9" fillId="0" borderId="17" xfId="0" applyNumberFormat="1" applyFont="1" applyBorder="1" applyAlignment="1">
      <alignment vertical="center"/>
    </xf>
    <xf numFmtId="0" fontId="0" fillId="0" borderId="18" xfId="0" applyBorder="1" applyAlignment="1">
      <alignment vertical="center"/>
    </xf>
    <xf numFmtId="14" fontId="2" fillId="0" borderId="0" xfId="0" applyNumberFormat="1" applyFont="1" applyAlignment="1">
      <alignment horizontal="left" vertical="center"/>
    </xf>
    <xf numFmtId="176" fontId="9" fillId="0" borderId="19" xfId="0" applyNumberFormat="1" applyFont="1" applyBorder="1" applyAlignment="1">
      <alignment vertical="center"/>
    </xf>
    <xf numFmtId="169" fontId="9" fillId="0" borderId="19" xfId="0" applyNumberFormat="1" applyFont="1" applyBorder="1" applyAlignment="1">
      <alignment vertical="center"/>
    </xf>
    <xf numFmtId="167" fontId="9" fillId="0" borderId="19" xfId="0" applyNumberFormat="1" applyFont="1" applyBorder="1" applyAlignment="1">
      <alignment horizontal="center" vertical="center"/>
    </xf>
    <xf numFmtId="169" fontId="11" fillId="0" borderId="19" xfId="0" applyNumberFormat="1" applyFont="1" applyBorder="1" applyAlignment="1">
      <alignment vertical="center"/>
    </xf>
    <xf numFmtId="176" fontId="9" fillId="0" borderId="20" xfId="0" applyNumberFormat="1" applyFont="1" applyBorder="1" applyAlignment="1">
      <alignment vertical="center"/>
    </xf>
    <xf numFmtId="169" fontId="9" fillId="0" borderId="20" xfId="0" applyNumberFormat="1" applyFont="1" applyBorder="1" applyAlignment="1">
      <alignment vertical="center"/>
    </xf>
    <xf numFmtId="167" fontId="9" fillId="0" borderId="20" xfId="0" applyNumberFormat="1" applyFont="1" applyBorder="1" applyAlignment="1">
      <alignment horizontal="center" vertical="center"/>
    </xf>
    <xf numFmtId="169" fontId="11" fillId="0" borderId="20" xfId="0" applyNumberFormat="1" applyFont="1" applyBorder="1" applyAlignment="1">
      <alignment vertical="center"/>
    </xf>
    <xf numFmtId="176" fontId="9" fillId="0" borderId="21" xfId="0" applyNumberFormat="1" applyFont="1" applyBorder="1" applyAlignment="1">
      <alignment vertical="center"/>
    </xf>
    <xf numFmtId="169" fontId="9" fillId="0" borderId="21" xfId="0" applyNumberFormat="1" applyFont="1" applyBorder="1" applyAlignment="1">
      <alignment vertical="center"/>
    </xf>
    <xf numFmtId="167" fontId="9" fillId="0" borderId="21" xfId="0" applyNumberFormat="1" applyFont="1" applyBorder="1" applyAlignment="1">
      <alignment horizontal="center" vertical="center"/>
    </xf>
    <xf numFmtId="169" fontId="11" fillId="0" borderId="21" xfId="0" applyNumberFormat="1" applyFont="1" applyBorder="1" applyAlignment="1">
      <alignment vertical="center"/>
    </xf>
    <xf numFmtId="0" fontId="5" fillId="0" borderId="5" xfId="0" applyFont="1" applyBorder="1" applyAlignment="1" applyProtection="1">
      <alignment vertical="center"/>
      <protection locked="0"/>
    </xf>
    <xf numFmtId="169" fontId="5" fillId="0" borderId="22" xfId="0" applyNumberFormat="1" applyFont="1" applyBorder="1" applyAlignment="1" applyProtection="1">
      <alignment vertical="center"/>
      <protection locked="0"/>
    </xf>
    <xf numFmtId="169" fontId="6" fillId="0" borderId="6" xfId="0" applyNumberFormat="1" applyFont="1" applyBorder="1" applyAlignment="1" applyProtection="1">
      <alignment horizontal="center" vertical="center"/>
      <protection locked="0"/>
    </xf>
    <xf numFmtId="169" fontId="5" fillId="0" borderId="2" xfId="0" applyNumberFormat="1" applyFont="1" applyBorder="1" applyAlignment="1">
      <alignment vertical="center"/>
    </xf>
    <xf numFmtId="0" fontId="2" fillId="0" borderId="1" xfId="0" applyFont="1" applyBorder="1" applyAlignment="1">
      <alignment vertical="center"/>
    </xf>
    <xf numFmtId="14" fontId="2" fillId="0" borderId="1" xfId="0" applyNumberFormat="1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5" fillId="0" borderId="0" xfId="0" applyFont="1" applyAlignment="1">
      <alignment horizontal="center" vertical="center"/>
    </xf>
    <xf numFmtId="0" fontId="11" fillId="0" borderId="15" xfId="0" applyFont="1" applyBorder="1" applyAlignment="1">
      <alignment vertical="center"/>
    </xf>
    <xf numFmtId="165" fontId="11" fillId="0" borderId="15" xfId="1" applyNumberFormat="1" applyFont="1" applyBorder="1" applyAlignment="1" applyProtection="1">
      <alignment vertical="center"/>
    </xf>
    <xf numFmtId="0" fontId="5" fillId="0" borderId="4" xfId="0" applyFont="1" applyBorder="1" applyAlignment="1">
      <alignment horizontal="center" vertical="center"/>
    </xf>
    <xf numFmtId="169" fontId="5" fillId="0" borderId="6" xfId="0" applyNumberFormat="1" applyFont="1" applyBorder="1" applyAlignment="1">
      <alignment vertical="center"/>
    </xf>
    <xf numFmtId="0" fontId="0" fillId="0" borderId="2" xfId="0" applyBorder="1" applyAlignment="1">
      <alignment vertical="center"/>
    </xf>
    <xf numFmtId="0" fontId="5" fillId="0" borderId="2" xfId="0" applyFont="1" applyBorder="1" applyAlignment="1">
      <alignment horizontal="center" vertical="center"/>
    </xf>
    <xf numFmtId="3" fontId="7" fillId="0" borderId="2" xfId="0" applyNumberFormat="1" applyFont="1" applyBorder="1" applyAlignment="1">
      <alignment vertical="center"/>
    </xf>
    <xf numFmtId="0" fontId="7" fillId="0" borderId="15" xfId="0" applyFont="1" applyBorder="1" applyAlignment="1">
      <alignment vertical="center"/>
    </xf>
    <xf numFmtId="3" fontId="7" fillId="0" borderId="15" xfId="0" applyNumberFormat="1" applyFont="1" applyBorder="1" applyAlignment="1">
      <alignment vertical="center"/>
    </xf>
    <xf numFmtId="2" fontId="7" fillId="0" borderId="0" xfId="0" applyNumberFormat="1" applyFont="1" applyAlignment="1">
      <alignment vertical="center"/>
    </xf>
    <xf numFmtId="169" fontId="5" fillId="0" borderId="13" xfId="0" applyNumberFormat="1" applyFont="1" applyBorder="1" applyAlignment="1">
      <alignment vertical="center"/>
    </xf>
    <xf numFmtId="169" fontId="5" fillId="0" borderId="22" xfId="0" applyNumberFormat="1" applyFont="1" applyBorder="1" applyAlignment="1">
      <alignment vertical="center"/>
    </xf>
    <xf numFmtId="169" fontId="5" fillId="0" borderId="14" xfId="0" applyNumberFormat="1" applyFont="1" applyBorder="1" applyAlignment="1">
      <alignment vertical="center"/>
    </xf>
    <xf numFmtId="169" fontId="7" fillId="0" borderId="0" xfId="0" applyNumberFormat="1" applyFont="1" applyAlignment="1">
      <alignment vertical="center"/>
    </xf>
    <xf numFmtId="0" fontId="4" fillId="0" borderId="0" xfId="0" applyFont="1"/>
    <xf numFmtId="0" fontId="0" fillId="0" borderId="0" xfId="0" applyAlignment="1" applyProtection="1">
      <alignment vertical="center"/>
      <protection locked="0"/>
    </xf>
    <xf numFmtId="169" fontId="5" fillId="0" borderId="23" xfId="0" applyNumberFormat="1" applyFont="1" applyBorder="1" applyAlignment="1">
      <alignment vertical="center"/>
    </xf>
    <xf numFmtId="170" fontId="5" fillId="0" borderId="0" xfId="0" applyNumberFormat="1" applyFont="1" applyAlignment="1">
      <alignment vertical="center"/>
    </xf>
    <xf numFmtId="175" fontId="5" fillId="0" borderId="24" xfId="0" applyNumberFormat="1" applyFont="1" applyBorder="1" applyAlignment="1">
      <alignment vertical="center"/>
    </xf>
    <xf numFmtId="169" fontId="5" fillId="0" borderId="24" xfId="0" applyNumberFormat="1" applyFont="1" applyBorder="1" applyAlignment="1">
      <alignment vertical="center"/>
    </xf>
    <xf numFmtId="3" fontId="5" fillId="0" borderId="25" xfId="0" applyNumberFormat="1" applyFont="1" applyBorder="1" applyAlignment="1">
      <alignment vertical="center"/>
    </xf>
    <xf numFmtId="170" fontId="5" fillId="0" borderId="26" xfId="0" applyNumberFormat="1" applyFont="1" applyBorder="1" applyAlignment="1">
      <alignment vertical="center"/>
    </xf>
    <xf numFmtId="0" fontId="7" fillId="0" borderId="27" xfId="0" applyFont="1" applyBorder="1" applyAlignment="1">
      <alignment horizontal="left" vertical="center" indent="1"/>
    </xf>
    <xf numFmtId="169" fontId="7" fillId="0" borderId="28" xfId="0" applyNumberFormat="1" applyFont="1" applyBorder="1" applyAlignment="1">
      <alignment vertical="center"/>
    </xf>
    <xf numFmtId="0" fontId="2" fillId="0" borderId="29" xfId="0" applyFont="1" applyBorder="1" applyAlignment="1">
      <alignment horizontal="center" vertical="top"/>
    </xf>
    <xf numFmtId="0" fontId="2" fillId="0" borderId="16" xfId="0" applyFont="1" applyBorder="1" applyAlignment="1">
      <alignment horizontal="center" vertical="top"/>
    </xf>
    <xf numFmtId="0" fontId="4" fillId="0" borderId="0" xfId="0" applyFont="1" applyAlignment="1">
      <alignment vertical="center"/>
    </xf>
    <xf numFmtId="0" fontId="10" fillId="0" borderId="0" xfId="0" applyFont="1"/>
    <xf numFmtId="0" fontId="0" fillId="0" borderId="1" xfId="0" applyBorder="1" applyAlignment="1" applyProtection="1">
      <alignment vertical="center"/>
      <protection locked="0"/>
    </xf>
    <xf numFmtId="0" fontId="21" fillId="0" borderId="31" xfId="0" applyFont="1" applyBorder="1" applyAlignment="1">
      <alignment horizontal="center" vertical="center" wrapText="1"/>
    </xf>
    <xf numFmtId="0" fontId="19" fillId="0" borderId="26" xfId="0" applyFont="1" applyBorder="1" applyAlignment="1">
      <alignment vertical="center"/>
    </xf>
    <xf numFmtId="0" fontId="19" fillId="0" borderId="26" xfId="0" applyFont="1" applyBorder="1" applyAlignment="1">
      <alignment vertical="center" wrapText="1"/>
    </xf>
    <xf numFmtId="0" fontId="19" fillId="0" borderId="0" xfId="0" applyFont="1" applyAlignment="1">
      <alignment vertical="center" wrapText="1"/>
    </xf>
    <xf numFmtId="0" fontId="19" fillId="0" borderId="0" xfId="0" applyFont="1" applyAlignment="1">
      <alignment horizontal="left" vertical="center" wrapText="1"/>
    </xf>
    <xf numFmtId="173" fontId="19" fillId="0" borderId="0" xfId="0" applyNumberFormat="1" applyFont="1" applyAlignment="1">
      <alignment horizontal="left" vertical="center" wrapText="1"/>
    </xf>
    <xf numFmtId="0" fontId="15" fillId="0" borderId="0" xfId="0" applyFont="1"/>
    <xf numFmtId="0" fontId="21" fillId="0" borderId="0" xfId="0" applyFont="1" applyAlignment="1">
      <alignment vertical="center"/>
    </xf>
    <xf numFmtId="0" fontId="21" fillId="0" borderId="0" xfId="0" applyFont="1"/>
    <xf numFmtId="0" fontId="21" fillId="0" borderId="32" xfId="0" applyFont="1" applyBorder="1" applyAlignment="1">
      <alignment horizontal="center" vertical="center" wrapText="1"/>
    </xf>
    <xf numFmtId="0" fontId="15" fillId="0" borderId="15" xfId="0" applyFont="1" applyBorder="1"/>
    <xf numFmtId="0" fontId="15" fillId="0" borderId="0" xfId="0" applyFont="1" applyAlignment="1">
      <alignment horizontal="center" vertical="center"/>
    </xf>
    <xf numFmtId="0" fontId="22" fillId="0" borderId="0" xfId="0" applyFont="1" applyAlignment="1">
      <alignment horizontal="center" vertical="center"/>
    </xf>
    <xf numFmtId="0" fontId="21" fillId="0" borderId="33" xfId="0" applyFont="1" applyBorder="1" applyAlignment="1">
      <alignment horizontal="center" vertical="center" wrapText="1"/>
    </xf>
    <xf numFmtId="0" fontId="21" fillId="0" borderId="17" xfId="0" applyFont="1" applyBorder="1" applyAlignment="1">
      <alignment horizontal="center" vertical="center" wrapText="1"/>
    </xf>
    <xf numFmtId="0" fontId="22" fillId="0" borderId="34" xfId="0" applyFont="1" applyBorder="1" applyAlignment="1">
      <alignment vertical="center"/>
    </xf>
    <xf numFmtId="0" fontId="15" fillId="0" borderId="3" xfId="0" applyFont="1" applyBorder="1" applyAlignment="1">
      <alignment horizontal="right" vertical="center"/>
    </xf>
    <xf numFmtId="0" fontId="15" fillId="0" borderId="5" xfId="0" applyFont="1" applyBorder="1" applyAlignment="1">
      <alignment horizontal="right" vertical="center"/>
    </xf>
    <xf numFmtId="0" fontId="15" fillId="0" borderId="30" xfId="0" applyFont="1" applyBorder="1" applyAlignment="1">
      <alignment vertical="center"/>
    </xf>
    <xf numFmtId="0" fontId="15" fillId="0" borderId="35" xfId="0" applyFont="1" applyBorder="1" applyAlignment="1">
      <alignment vertical="center"/>
    </xf>
    <xf numFmtId="0" fontId="22" fillId="0" borderId="30" xfId="0" applyFont="1" applyBorder="1" applyAlignment="1">
      <alignment vertical="center"/>
    </xf>
    <xf numFmtId="0" fontId="22" fillId="0" borderId="36" xfId="0" applyFont="1" applyBorder="1" applyAlignment="1">
      <alignment vertical="center"/>
    </xf>
    <xf numFmtId="0" fontId="22" fillId="0" borderId="27" xfId="0" applyFont="1" applyBorder="1" applyAlignment="1">
      <alignment vertical="center"/>
    </xf>
    <xf numFmtId="0" fontId="22" fillId="0" borderId="37" xfId="0" applyFont="1" applyBorder="1" applyAlignment="1">
      <alignment vertical="center"/>
    </xf>
    <xf numFmtId="0" fontId="15" fillId="0" borderId="38" xfId="0" applyFont="1" applyBorder="1" applyAlignment="1">
      <alignment vertical="center"/>
    </xf>
    <xf numFmtId="0" fontId="15" fillId="0" borderId="7" xfId="0" applyFont="1" applyBorder="1" applyAlignment="1">
      <alignment horizontal="right" vertical="center"/>
    </xf>
    <xf numFmtId="0" fontId="15" fillId="0" borderId="39" xfId="0" applyFont="1" applyBorder="1" applyAlignment="1">
      <alignment horizontal="center" vertical="center"/>
    </xf>
    <xf numFmtId="0" fontId="15" fillId="0" borderId="40" xfId="0" applyFont="1" applyBorder="1" applyAlignment="1">
      <alignment horizontal="center" vertical="center"/>
    </xf>
    <xf numFmtId="0" fontId="21" fillId="0" borderId="39" xfId="0" applyFont="1" applyBorder="1" applyAlignment="1">
      <alignment horizontal="center" vertical="center" wrapText="1"/>
    </xf>
    <xf numFmtId="0" fontId="22" fillId="0" borderId="26" xfId="0" applyFont="1" applyBorder="1" applyAlignment="1">
      <alignment vertical="center" wrapText="1"/>
    </xf>
    <xf numFmtId="0" fontId="22" fillId="0" borderId="30" xfId="0" applyFont="1" applyBorder="1" applyAlignment="1">
      <alignment vertical="center" wrapText="1"/>
    </xf>
    <xf numFmtId="0" fontId="21" fillId="0" borderId="6" xfId="0" applyFont="1" applyBorder="1" applyAlignment="1">
      <alignment horizontal="center" vertical="center" wrapText="1"/>
    </xf>
    <xf numFmtId="0" fontId="21" fillId="0" borderId="9" xfId="0" applyFont="1" applyBorder="1" applyAlignment="1">
      <alignment horizontal="center" vertical="center" wrapText="1"/>
    </xf>
    <xf numFmtId="0" fontId="23" fillId="0" borderId="27" xfId="0" applyFont="1" applyBorder="1" applyAlignment="1">
      <alignment vertical="center"/>
    </xf>
    <xf numFmtId="0" fontId="20" fillId="0" borderId="26" xfId="0" applyFont="1" applyBorder="1" applyAlignment="1">
      <alignment vertical="center"/>
    </xf>
    <xf numFmtId="0" fontId="20" fillId="0" borderId="0" xfId="0" applyFont="1" applyAlignment="1">
      <alignment vertical="center"/>
    </xf>
    <xf numFmtId="0" fontId="24" fillId="0" borderId="0" xfId="0" applyFont="1" applyAlignment="1">
      <alignment vertical="center"/>
    </xf>
    <xf numFmtId="0" fontId="24" fillId="0" borderId="1" xfId="0" applyFont="1" applyBorder="1" applyAlignment="1">
      <alignment vertical="center"/>
    </xf>
    <xf numFmtId="0" fontId="24" fillId="0" borderId="0" xfId="0" applyFont="1"/>
    <xf numFmtId="177" fontId="9" fillId="0" borderId="19" xfId="0" applyNumberFormat="1" applyFont="1" applyBorder="1" applyAlignment="1">
      <alignment vertical="center"/>
    </xf>
    <xf numFmtId="177" fontId="9" fillId="0" borderId="20" xfId="0" applyNumberFormat="1" applyFont="1" applyBorder="1" applyAlignment="1">
      <alignment vertical="center"/>
    </xf>
    <xf numFmtId="171" fontId="9" fillId="0" borderId="21" xfId="0" applyNumberFormat="1" applyFont="1" applyBorder="1" applyAlignment="1">
      <alignment vertical="center"/>
    </xf>
    <xf numFmtId="177" fontId="9" fillId="0" borderId="21" xfId="0" applyNumberFormat="1" applyFont="1" applyBorder="1" applyAlignment="1">
      <alignment vertical="center"/>
    </xf>
    <xf numFmtId="14" fontId="2" fillId="0" borderId="1" xfId="0" applyNumberFormat="1" applyFont="1" applyBorder="1" applyAlignment="1" applyProtection="1">
      <alignment horizontal="left" vertical="center"/>
      <protection locked="0"/>
    </xf>
    <xf numFmtId="176" fontId="9" fillId="0" borderId="42" xfId="0" applyNumberFormat="1" applyFont="1" applyBorder="1" applyAlignment="1">
      <alignment vertical="center"/>
    </xf>
    <xf numFmtId="171" fontId="9" fillId="0" borderId="42" xfId="0" applyNumberFormat="1" applyFont="1" applyBorder="1" applyAlignment="1">
      <alignment vertical="center"/>
    </xf>
    <xf numFmtId="177" fontId="9" fillId="0" borderId="42" xfId="0" applyNumberFormat="1" applyFont="1" applyBorder="1" applyAlignment="1">
      <alignment vertical="center"/>
    </xf>
    <xf numFmtId="169" fontId="3" fillId="0" borderId="0" xfId="0" applyNumberFormat="1" applyFont="1" applyAlignment="1">
      <alignment horizontal="left" vertical="center"/>
    </xf>
    <xf numFmtId="0" fontId="0" fillId="0" borderId="1" xfId="0" applyBorder="1"/>
    <xf numFmtId="0" fontId="0" fillId="0" borderId="26" xfId="0" applyBorder="1" applyAlignment="1" applyProtection="1">
      <alignment vertical="center"/>
      <protection locked="0"/>
    </xf>
    <xf numFmtId="0" fontId="22" fillId="0" borderId="43" xfId="0" applyFont="1" applyBorder="1" applyAlignment="1">
      <alignment vertical="center"/>
    </xf>
    <xf numFmtId="0" fontId="25" fillId="0" borderId="44" xfId="0" applyFont="1" applyBorder="1" applyAlignment="1">
      <alignment horizontal="center" vertical="center" wrapText="1"/>
    </xf>
    <xf numFmtId="171" fontId="9" fillId="0" borderId="20" xfId="0" applyNumberFormat="1" applyFont="1" applyBorder="1" applyAlignment="1">
      <alignment vertical="center"/>
    </xf>
    <xf numFmtId="0" fontId="26" fillId="0" borderId="0" xfId="0" applyFont="1" applyAlignment="1">
      <alignment vertical="center"/>
    </xf>
    <xf numFmtId="0" fontId="4" fillId="0" borderId="0" xfId="0" applyFont="1" applyAlignment="1">
      <alignment horizontal="left" vertical="center"/>
    </xf>
    <xf numFmtId="10" fontId="25" fillId="0" borderId="25" xfId="0" applyNumberFormat="1" applyFont="1" applyBorder="1" applyAlignment="1">
      <alignment horizontal="center" vertical="center" wrapText="1"/>
    </xf>
    <xf numFmtId="169" fontId="5" fillId="0" borderId="0" xfId="0" applyNumberFormat="1" applyFont="1" applyAlignment="1">
      <alignment vertical="center"/>
    </xf>
    <xf numFmtId="0" fontId="27" fillId="0" borderId="0" xfId="0" applyFont="1" applyAlignment="1">
      <alignment vertical="center"/>
    </xf>
    <xf numFmtId="0" fontId="27" fillId="0" borderId="0" xfId="0" applyFont="1"/>
    <xf numFmtId="4" fontId="5" fillId="0" borderId="13" xfId="0" applyNumberFormat="1" applyFont="1" applyBorder="1" applyAlignment="1">
      <alignment horizontal="center" vertical="center"/>
    </xf>
    <xf numFmtId="0" fontId="21" fillId="0" borderId="45" xfId="0" applyFont="1" applyBorder="1" applyAlignment="1" applyProtection="1">
      <alignment horizontal="center" vertical="center" wrapText="1"/>
      <protection locked="0"/>
    </xf>
    <xf numFmtId="3" fontId="7" fillId="0" borderId="46" xfId="0" applyNumberFormat="1" applyFont="1" applyBorder="1" applyAlignment="1" applyProtection="1">
      <alignment horizontal="center" vertical="center"/>
      <protection locked="0"/>
    </xf>
    <xf numFmtId="3" fontId="5" fillId="0" borderId="39" xfId="0" applyNumberFormat="1" applyFont="1" applyBorder="1" applyAlignment="1" applyProtection="1">
      <alignment horizontal="center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169" fontId="7" fillId="0" borderId="19" xfId="0" applyNumberFormat="1" applyFont="1" applyBorder="1" applyAlignment="1">
      <alignment vertical="center"/>
    </xf>
    <xf numFmtId="169" fontId="7" fillId="0" borderId="20" xfId="0" applyNumberFormat="1" applyFont="1" applyBorder="1" applyAlignment="1">
      <alignment vertical="center"/>
    </xf>
    <xf numFmtId="169" fontId="7" fillId="0" borderId="21" xfId="0" applyNumberFormat="1" applyFont="1" applyBorder="1" applyAlignment="1">
      <alignment vertical="center"/>
    </xf>
    <xf numFmtId="169" fontId="11" fillId="0" borderId="17" xfId="0" applyNumberFormat="1" applyFont="1" applyBorder="1" applyAlignment="1">
      <alignment vertical="center"/>
    </xf>
    <xf numFmtId="169" fontId="7" fillId="0" borderId="47" xfId="0" applyNumberFormat="1" applyFont="1" applyBorder="1" applyAlignment="1">
      <alignment vertical="center"/>
    </xf>
    <xf numFmtId="169" fontId="7" fillId="0" borderId="24" xfId="0" applyNumberFormat="1" applyFont="1" applyBorder="1" applyAlignment="1">
      <alignment vertical="center"/>
    </xf>
    <xf numFmtId="169" fontId="7" fillId="0" borderId="17" xfId="0" applyNumberFormat="1" applyFont="1" applyBorder="1" applyAlignment="1">
      <alignment vertical="center"/>
    </xf>
    <xf numFmtId="169" fontId="7" fillId="0" borderId="42" xfId="0" applyNumberFormat="1" applyFont="1" applyBorder="1" applyAlignment="1">
      <alignment vertical="center"/>
    </xf>
    <xf numFmtId="169" fontId="7" fillId="0" borderId="44" xfId="0" applyNumberFormat="1" applyFont="1" applyBorder="1" applyAlignment="1">
      <alignment vertical="center"/>
    </xf>
    <xf numFmtId="169" fontId="7" fillId="0" borderId="24" xfId="0" applyNumberFormat="1" applyFont="1" applyBorder="1" applyAlignment="1" applyProtection="1">
      <alignment vertical="center"/>
      <protection locked="0"/>
    </xf>
    <xf numFmtId="0" fontId="7" fillId="0" borderId="44" xfId="0" applyFont="1" applyBorder="1"/>
    <xf numFmtId="0" fontId="15" fillId="0" borderId="27" xfId="0" applyFont="1" applyBorder="1" applyAlignment="1">
      <alignment horizontal="left" vertical="center" indent="1"/>
    </xf>
    <xf numFmtId="0" fontId="15" fillId="0" borderId="15" xfId="0" applyFont="1" applyBorder="1" applyAlignment="1">
      <alignment horizontal="left" vertical="center" indent="2"/>
    </xf>
    <xf numFmtId="10" fontId="5" fillId="0" borderId="48" xfId="0" applyNumberFormat="1" applyFont="1" applyBorder="1" applyAlignment="1">
      <alignment horizontal="center" vertical="center"/>
    </xf>
    <xf numFmtId="10" fontId="5" fillId="0" borderId="13" xfId="0" applyNumberFormat="1" applyFont="1" applyBorder="1" applyAlignment="1">
      <alignment horizontal="center" vertical="center"/>
    </xf>
    <xf numFmtId="4" fontId="5" fillId="0" borderId="13" xfId="0" applyNumberFormat="1" applyFont="1" applyBorder="1" applyAlignment="1" applyProtection="1">
      <alignment horizontal="center" vertical="center"/>
      <protection locked="0"/>
    </xf>
    <xf numFmtId="0" fontId="0" fillId="0" borderId="29" xfId="0" applyBorder="1" applyAlignment="1">
      <alignment vertical="center"/>
    </xf>
    <xf numFmtId="0" fontId="29" fillId="0" borderId="49" xfId="0" applyFont="1" applyBorder="1" applyAlignment="1">
      <alignment horizontal="center" vertical="center" wrapText="1"/>
    </xf>
    <xf numFmtId="0" fontId="29" fillId="0" borderId="22" xfId="0" applyFont="1" applyBorder="1" applyAlignment="1">
      <alignment horizontal="center" vertical="center" wrapText="1"/>
    </xf>
    <xf numFmtId="0" fontId="29" fillId="0" borderId="22" xfId="0" applyFont="1" applyBorder="1" applyAlignment="1" applyProtection="1">
      <alignment horizontal="center" vertical="center" wrapText="1"/>
      <protection locked="0"/>
    </xf>
    <xf numFmtId="4" fontId="5" fillId="0" borderId="50" xfId="0" applyNumberFormat="1" applyFont="1" applyBorder="1" applyAlignment="1">
      <alignment horizontal="center" vertical="center"/>
    </xf>
    <xf numFmtId="4" fontId="5" fillId="0" borderId="45" xfId="0" applyNumberFormat="1" applyFont="1" applyBorder="1" applyAlignment="1">
      <alignment horizontal="center" vertical="center"/>
    </xf>
    <xf numFmtId="2" fontId="5" fillId="0" borderId="51" xfId="0" applyNumberFormat="1" applyFont="1" applyBorder="1" applyAlignment="1" applyProtection="1">
      <alignment horizontal="center" vertical="center"/>
      <protection locked="0"/>
    </xf>
    <xf numFmtId="0" fontId="29" fillId="0" borderId="50" xfId="0" applyFont="1" applyBorder="1" applyAlignment="1">
      <alignment horizontal="center" vertical="center" wrapText="1"/>
    </xf>
    <xf numFmtId="0" fontId="29" fillId="0" borderId="45" xfId="0" applyFont="1" applyBorder="1" applyAlignment="1">
      <alignment horizontal="center" vertical="center" wrapText="1"/>
    </xf>
    <xf numFmtId="0" fontId="21" fillId="0" borderId="51" xfId="0" applyFont="1" applyBorder="1" applyAlignment="1" applyProtection="1">
      <alignment horizontal="center" vertical="center" wrapText="1"/>
      <protection locked="0"/>
    </xf>
    <xf numFmtId="0" fontId="29" fillId="0" borderId="52" xfId="0" applyFont="1" applyBorder="1" applyAlignment="1">
      <alignment horizontal="center" vertical="center" wrapText="1"/>
    </xf>
    <xf numFmtId="3" fontId="5" fillId="0" borderId="53" xfId="0" applyNumberFormat="1" applyFont="1" applyBorder="1" applyAlignment="1">
      <alignment horizontal="center" vertical="center"/>
    </xf>
    <xf numFmtId="172" fontId="5" fillId="0" borderId="39" xfId="0" applyNumberFormat="1" applyFont="1" applyBorder="1" applyAlignment="1">
      <alignment horizontal="center" vertical="center"/>
    </xf>
    <xf numFmtId="4" fontId="12" fillId="0" borderId="54" xfId="0" applyNumberFormat="1" applyFont="1" applyBorder="1" applyAlignment="1">
      <alignment horizontal="center" vertical="center"/>
    </xf>
    <xf numFmtId="0" fontId="29" fillId="0" borderId="55" xfId="0" applyFont="1" applyBorder="1" applyAlignment="1">
      <alignment horizontal="center" vertical="center" wrapText="1"/>
    </xf>
    <xf numFmtId="0" fontId="29" fillId="0" borderId="32" xfId="0" applyFont="1" applyBorder="1" applyAlignment="1">
      <alignment horizontal="center" vertical="center" wrapText="1"/>
    </xf>
    <xf numFmtId="0" fontId="29" fillId="0" borderId="32" xfId="0" applyFont="1" applyBorder="1" applyAlignment="1" applyProtection="1">
      <alignment horizontal="center" vertical="center" wrapText="1"/>
      <protection locked="0"/>
    </xf>
    <xf numFmtId="4" fontId="7" fillId="0" borderId="46" xfId="0" applyNumberFormat="1" applyFont="1" applyBorder="1" applyAlignment="1" applyProtection="1">
      <alignment horizontal="center" vertical="center"/>
      <protection locked="0"/>
    </xf>
    <xf numFmtId="3" fontId="4" fillId="0" borderId="57" xfId="0" applyNumberFormat="1" applyFont="1" applyBorder="1" applyAlignment="1" applyProtection="1">
      <alignment horizontal="center" vertical="center"/>
      <protection locked="0"/>
    </xf>
    <xf numFmtId="0" fontId="21" fillId="0" borderId="58" xfId="0" applyFont="1" applyBorder="1" applyAlignment="1" applyProtection="1">
      <alignment horizontal="center" vertical="center" wrapText="1"/>
      <protection locked="0"/>
    </xf>
    <xf numFmtId="0" fontId="19" fillId="0" borderId="59" xfId="0" applyFont="1" applyBorder="1" applyAlignment="1">
      <alignment vertical="center"/>
    </xf>
    <xf numFmtId="0" fontId="20" fillId="0" borderId="60" xfId="0" applyFont="1" applyBorder="1" applyAlignment="1">
      <alignment vertical="center"/>
    </xf>
    <xf numFmtId="0" fontId="28" fillId="0" borderId="27" xfId="0" applyFont="1" applyBorder="1" applyAlignment="1">
      <alignment vertical="center"/>
    </xf>
    <xf numFmtId="0" fontId="0" fillId="0" borderId="28" xfId="0" applyBorder="1" applyAlignment="1">
      <alignment vertical="center"/>
    </xf>
    <xf numFmtId="169" fontId="5" fillId="0" borderId="39" xfId="0" applyNumberFormat="1" applyFont="1" applyBorder="1" applyAlignment="1">
      <alignment horizontal="right" vertical="center"/>
    </xf>
    <xf numFmtId="169" fontId="5" fillId="0" borderId="40" xfId="0" applyNumberFormat="1" applyFont="1" applyBorder="1" applyAlignment="1">
      <alignment horizontal="right" vertical="center"/>
    </xf>
    <xf numFmtId="169" fontId="6" fillId="0" borderId="39" xfId="0" applyNumberFormat="1" applyFont="1" applyBorder="1" applyAlignment="1">
      <alignment horizontal="center" vertical="center"/>
    </xf>
    <xf numFmtId="169" fontId="5" fillId="0" borderId="40" xfId="0" applyNumberFormat="1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25" fillId="0" borderId="0" xfId="0" applyFont="1"/>
    <xf numFmtId="0" fontId="25" fillId="0" borderId="0" xfId="0" applyFont="1" applyAlignment="1">
      <alignment vertical="center"/>
    </xf>
    <xf numFmtId="0" fontId="0" fillId="0" borderId="24" xfId="0" applyBorder="1"/>
    <xf numFmtId="0" fontId="20" fillId="0" borderId="61" xfId="0" applyFont="1" applyBorder="1" applyAlignment="1">
      <alignment vertical="center"/>
    </xf>
    <xf numFmtId="0" fontId="20" fillId="0" borderId="62" xfId="0" applyFont="1" applyBorder="1" applyAlignment="1">
      <alignment vertical="center"/>
    </xf>
    <xf numFmtId="0" fontId="24" fillId="0" borderId="62" xfId="0" applyFont="1" applyBorder="1" applyAlignment="1">
      <alignment vertical="center"/>
    </xf>
    <xf numFmtId="0" fontId="24" fillId="0" borderId="62" xfId="0" applyFont="1" applyBorder="1"/>
    <xf numFmtId="0" fontId="24" fillId="0" borderId="63" xfId="0" applyFont="1" applyBorder="1" applyAlignment="1">
      <alignment vertical="center"/>
    </xf>
    <xf numFmtId="0" fontId="4" fillId="0" borderId="62" xfId="0" applyFont="1" applyBorder="1" applyAlignment="1">
      <alignment vertical="center"/>
    </xf>
    <xf numFmtId="0" fontId="10" fillId="0" borderId="63" xfId="0" applyFont="1" applyBorder="1" applyAlignment="1">
      <alignment vertical="center"/>
    </xf>
    <xf numFmtId="179" fontId="5" fillId="0" borderId="13" xfId="0" applyNumberFormat="1" applyFont="1" applyBorder="1" applyAlignment="1">
      <alignment horizontal="center" vertical="center"/>
    </xf>
    <xf numFmtId="10" fontId="6" fillId="0" borderId="0" xfId="3" applyNumberFormat="1" applyFont="1" applyProtection="1"/>
    <xf numFmtId="0" fontId="13" fillId="0" borderId="27" xfId="0" applyFont="1" applyBorder="1" applyAlignment="1">
      <alignment horizontal="left" vertical="center" indent="2"/>
    </xf>
    <xf numFmtId="0" fontId="13" fillId="0" borderId="15" xfId="0" applyFont="1" applyBorder="1" applyAlignment="1">
      <alignment horizontal="left" vertical="center" indent="2"/>
    </xf>
    <xf numFmtId="169" fontId="0" fillId="0" borderId="0" xfId="0" applyNumberFormat="1"/>
    <xf numFmtId="0" fontId="15" fillId="0" borderId="34" xfId="0" applyFont="1" applyBorder="1" applyAlignment="1">
      <alignment vertical="center"/>
    </xf>
    <xf numFmtId="0" fontId="13" fillId="0" borderId="2" xfId="0" applyFont="1" applyBorder="1" applyAlignment="1">
      <alignment vertical="center" wrapText="1"/>
    </xf>
    <xf numFmtId="0" fontId="6" fillId="0" borderId="5" xfId="0" applyFont="1" applyBorder="1" applyAlignment="1">
      <alignment horizontal="center" vertical="center"/>
    </xf>
    <xf numFmtId="0" fontId="15" fillId="0" borderId="6" xfId="0" applyFont="1" applyBorder="1" applyAlignment="1">
      <alignment horizontal="center" vertical="center"/>
    </xf>
    <xf numFmtId="0" fontId="15" fillId="0" borderId="64" xfId="0" applyFont="1" applyBorder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18" fillId="0" borderId="16" xfId="0" applyFont="1" applyBorder="1" applyAlignment="1">
      <alignment horizontal="center" vertical="center"/>
    </xf>
    <xf numFmtId="0" fontId="7" fillId="0" borderId="7" xfId="0" applyFont="1" applyBorder="1" applyAlignment="1">
      <alignment vertical="center"/>
    </xf>
    <xf numFmtId="3" fontId="7" fillId="0" borderId="64" xfId="0" applyNumberFormat="1" applyFont="1" applyBorder="1" applyAlignment="1">
      <alignment vertical="center"/>
    </xf>
    <xf numFmtId="3" fontId="7" fillId="0" borderId="65" xfId="0" applyNumberFormat="1" applyFont="1" applyBorder="1" applyAlignment="1">
      <alignment vertical="center"/>
    </xf>
    <xf numFmtId="0" fontId="15" fillId="0" borderId="41" xfId="0" applyFont="1" applyBorder="1" applyAlignment="1">
      <alignment vertical="center"/>
    </xf>
    <xf numFmtId="0" fontId="12" fillId="0" borderId="11" xfId="0" applyFont="1" applyBorder="1" applyAlignment="1">
      <alignment vertical="center" wrapText="1"/>
    </xf>
    <xf numFmtId="0" fontId="15" fillId="0" borderId="11" xfId="0" applyFont="1" applyBorder="1" applyAlignment="1">
      <alignment horizontal="right" vertical="center"/>
    </xf>
    <xf numFmtId="168" fontId="5" fillId="0" borderId="66" xfId="0" applyNumberFormat="1" applyFont="1" applyBorder="1" applyAlignment="1">
      <alignment horizontal="left" vertical="center"/>
    </xf>
    <xf numFmtId="10" fontId="5" fillId="0" borderId="22" xfId="0" applyNumberFormat="1" applyFont="1" applyBorder="1" applyAlignment="1">
      <alignment horizontal="center" vertical="center"/>
    </xf>
    <xf numFmtId="169" fontId="5" fillId="0" borderId="14" xfId="0" applyNumberFormat="1" applyFont="1" applyBorder="1" applyAlignment="1">
      <alignment horizontal="right" vertical="center"/>
    </xf>
    <xf numFmtId="0" fontId="21" fillId="0" borderId="40" xfId="0" applyFont="1" applyBorder="1" applyAlignment="1">
      <alignment horizontal="center" vertical="center" wrapText="1"/>
    </xf>
    <xf numFmtId="180" fontId="6" fillId="0" borderId="7" xfId="0" applyNumberFormat="1" applyFont="1" applyBorder="1" applyAlignment="1">
      <alignment horizontal="right" vertical="center" wrapText="1"/>
    </xf>
    <xf numFmtId="174" fontId="6" fillId="0" borderId="7" xfId="0" applyNumberFormat="1" applyFont="1" applyBorder="1" applyAlignment="1">
      <alignment horizontal="left" vertical="center"/>
    </xf>
    <xf numFmtId="182" fontId="6" fillId="0" borderId="12" xfId="0" applyNumberFormat="1" applyFont="1" applyBorder="1" applyAlignment="1">
      <alignment horizontal="left" vertical="center"/>
    </xf>
    <xf numFmtId="0" fontId="6" fillId="0" borderId="7" xfId="0" applyFont="1" applyBorder="1" applyAlignment="1">
      <alignment horizontal="right" vertical="center"/>
    </xf>
    <xf numFmtId="168" fontId="6" fillId="0" borderId="67" xfId="0" applyNumberFormat="1" applyFont="1" applyBorder="1" applyAlignment="1">
      <alignment horizontal="left" vertical="center"/>
    </xf>
    <xf numFmtId="169" fontId="5" fillId="0" borderId="11" xfId="0" applyNumberFormat="1" applyFont="1" applyBorder="1" applyAlignment="1">
      <alignment vertical="center"/>
    </xf>
    <xf numFmtId="169" fontId="5" fillId="0" borderId="11" xfId="0" applyNumberFormat="1" applyFont="1" applyBorder="1" applyAlignment="1" applyProtection="1">
      <alignment vertical="center"/>
      <protection locked="0"/>
    </xf>
    <xf numFmtId="169" fontId="5" fillId="0" borderId="68" xfId="0" applyNumberFormat="1" applyFont="1" applyBorder="1" applyAlignment="1">
      <alignment vertical="center"/>
    </xf>
    <xf numFmtId="169" fontId="5" fillId="0" borderId="68" xfId="0" applyNumberFormat="1" applyFont="1" applyBorder="1" applyAlignment="1" applyProtection="1">
      <alignment vertical="center"/>
      <protection locked="0"/>
    </xf>
    <xf numFmtId="3" fontId="5" fillId="0" borderId="39" xfId="0" applyNumberFormat="1" applyFont="1" applyBorder="1" applyAlignment="1">
      <alignment horizontal="center" vertical="center"/>
    </xf>
    <xf numFmtId="169" fontId="5" fillId="0" borderId="63" xfId="0" applyNumberFormat="1" applyFont="1" applyBorder="1" applyAlignment="1">
      <alignment vertical="center"/>
    </xf>
    <xf numFmtId="169" fontId="5" fillId="0" borderId="69" xfId="0" applyNumberFormat="1" applyFont="1" applyBorder="1" applyAlignment="1">
      <alignment vertical="center"/>
    </xf>
    <xf numFmtId="176" fontId="2" fillId="0" borderId="19" xfId="0" applyNumberFormat="1" applyFont="1" applyBorder="1" applyAlignment="1">
      <alignment vertical="center"/>
    </xf>
    <xf numFmtId="171" fontId="2" fillId="0" borderId="19" xfId="0" applyNumberFormat="1" applyFont="1" applyBorder="1" applyAlignment="1">
      <alignment vertical="center"/>
    </xf>
    <xf numFmtId="169" fontId="2" fillId="0" borderId="19" xfId="0" applyNumberFormat="1" applyFont="1" applyBorder="1" applyAlignment="1">
      <alignment vertical="center"/>
    </xf>
    <xf numFmtId="176" fontId="2" fillId="0" borderId="20" xfId="0" applyNumberFormat="1" applyFont="1" applyBorder="1" applyAlignment="1">
      <alignment vertical="center"/>
    </xf>
    <xf numFmtId="171" fontId="2" fillId="0" borderId="20" xfId="0" applyNumberFormat="1" applyFont="1" applyBorder="1" applyAlignment="1">
      <alignment vertical="center"/>
    </xf>
    <xf numFmtId="169" fontId="2" fillId="0" borderId="20" xfId="0" applyNumberFormat="1" applyFont="1" applyBorder="1" applyAlignment="1">
      <alignment vertical="center"/>
    </xf>
    <xf numFmtId="176" fontId="2" fillId="0" borderId="21" xfId="0" applyNumberFormat="1" applyFont="1" applyBorder="1" applyAlignment="1">
      <alignment vertical="center"/>
    </xf>
    <xf numFmtId="171" fontId="2" fillId="0" borderId="21" xfId="0" applyNumberFormat="1" applyFont="1" applyBorder="1" applyAlignment="1">
      <alignment vertical="center"/>
    </xf>
    <xf numFmtId="169" fontId="2" fillId="0" borderId="21" xfId="0" applyNumberFormat="1" applyFont="1" applyBorder="1" applyAlignment="1">
      <alignment vertical="center"/>
    </xf>
    <xf numFmtId="3" fontId="5" fillId="0" borderId="24" xfId="0" applyNumberFormat="1" applyFont="1" applyBorder="1" applyAlignment="1">
      <alignment vertical="center"/>
    </xf>
    <xf numFmtId="4" fontId="0" fillId="0" borderId="0" xfId="0" applyNumberFormat="1"/>
    <xf numFmtId="3" fontId="25" fillId="0" borderId="0" xfId="0" applyNumberFormat="1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177" fontId="12" fillId="0" borderId="0" xfId="0" applyNumberFormat="1" applyFont="1" applyAlignment="1">
      <alignment vertical="center"/>
    </xf>
    <xf numFmtId="4" fontId="4" fillId="0" borderId="0" xfId="0" applyNumberFormat="1" applyFont="1" applyAlignment="1">
      <alignment vertical="center"/>
    </xf>
    <xf numFmtId="0" fontId="11" fillId="0" borderId="0" xfId="0" applyFont="1" applyAlignment="1">
      <alignment horizontal="left" vertical="center"/>
    </xf>
    <xf numFmtId="185" fontId="7" fillId="0" borderId="0" xfId="2" applyNumberFormat="1" applyFont="1" applyBorder="1" applyAlignment="1">
      <alignment vertical="center"/>
    </xf>
    <xf numFmtId="177" fontId="2" fillId="0" borderId="0" xfId="0" applyNumberFormat="1" applyFont="1"/>
    <xf numFmtId="169" fontId="11" fillId="0" borderId="0" xfId="0" applyNumberFormat="1" applyFont="1" applyAlignment="1">
      <alignment vertical="center"/>
    </xf>
    <xf numFmtId="187" fontId="4" fillId="0" borderId="0" xfId="0" applyNumberFormat="1" applyFont="1" applyAlignment="1">
      <alignment horizontal="left" vertical="center"/>
    </xf>
    <xf numFmtId="170" fontId="3" fillId="0" borderId="0" xfId="0" applyNumberFormat="1" applyFont="1" applyAlignment="1">
      <alignment horizontal="center" vertical="center"/>
    </xf>
    <xf numFmtId="166" fontId="10" fillId="0" borderId="0" xfId="0" applyNumberFormat="1" applyFont="1" applyAlignment="1">
      <alignment horizontal="left" vertical="center"/>
    </xf>
    <xf numFmtId="3" fontId="10" fillId="0" borderId="0" xfId="0" applyNumberFormat="1" applyFont="1" applyAlignment="1">
      <alignment horizontal="right" vertical="center"/>
    </xf>
    <xf numFmtId="4" fontId="10" fillId="0" borderId="0" xfId="0" applyNumberFormat="1" applyFont="1" applyAlignment="1">
      <alignment horizontal="left" vertical="center"/>
    </xf>
    <xf numFmtId="170" fontId="11" fillId="0" borderId="0" xfId="0" applyNumberFormat="1" applyFont="1" applyAlignment="1">
      <alignment horizontal="center" vertical="center"/>
    </xf>
    <xf numFmtId="3" fontId="10" fillId="0" borderId="0" xfId="0" applyNumberFormat="1" applyFont="1" applyAlignment="1">
      <alignment vertical="center" wrapText="1"/>
    </xf>
    <xf numFmtId="3" fontId="0" fillId="0" borderId="0" xfId="0" applyNumberFormat="1" applyAlignment="1">
      <alignment horizontal="right"/>
    </xf>
    <xf numFmtId="0" fontId="0" fillId="0" borderId="0" xfId="0" applyAlignment="1">
      <alignment horizontal="center"/>
    </xf>
    <xf numFmtId="0" fontId="0" fillId="0" borderId="0" xfId="0" applyAlignment="1">
      <alignment horizontal="left" indent="3"/>
    </xf>
    <xf numFmtId="0" fontId="11" fillId="0" borderId="0" xfId="0" applyFont="1" applyAlignment="1">
      <alignment vertical="top"/>
    </xf>
    <xf numFmtId="0" fontId="3" fillId="0" borderId="0" xfId="0" applyFont="1" applyAlignment="1">
      <alignment vertical="top"/>
    </xf>
    <xf numFmtId="0" fontId="5" fillId="0" borderId="0" xfId="0" applyFont="1" applyAlignment="1">
      <alignment horizontal="left" vertical="center"/>
    </xf>
    <xf numFmtId="181" fontId="11" fillId="0" borderId="0" xfId="2" applyNumberFormat="1" applyFont="1" applyBorder="1" applyAlignment="1">
      <alignment vertical="center"/>
    </xf>
    <xf numFmtId="0" fontId="12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185" fontId="5" fillId="0" borderId="0" xfId="2" applyNumberFormat="1" applyFont="1" applyBorder="1" applyAlignment="1">
      <alignment horizontal="left" vertical="center"/>
    </xf>
    <xf numFmtId="0" fontId="2" fillId="0" borderId="0" xfId="0" applyFont="1"/>
    <xf numFmtId="166" fontId="7" fillId="0" borderId="0" xfId="0" applyNumberFormat="1" applyFont="1" applyAlignment="1">
      <alignment horizontal="center"/>
    </xf>
    <xf numFmtId="188" fontId="2" fillId="0" borderId="0" xfId="0" applyNumberFormat="1" applyFont="1" applyAlignment="1">
      <alignment horizontal="right"/>
    </xf>
    <xf numFmtId="189" fontId="2" fillId="0" borderId="0" xfId="0" applyNumberFormat="1" applyFont="1"/>
    <xf numFmtId="0" fontId="0" fillId="0" borderId="17" xfId="0" applyBorder="1" applyAlignment="1">
      <alignment vertical="center"/>
    </xf>
    <xf numFmtId="4" fontId="0" fillId="0" borderId="0" xfId="0" applyNumberFormat="1" applyAlignment="1">
      <alignment vertical="center"/>
    </xf>
    <xf numFmtId="0" fontId="0" fillId="2" borderId="17" xfId="0" applyFill="1" applyBorder="1" applyAlignment="1" applyProtection="1">
      <alignment horizontal="center" vertical="center"/>
      <protection locked="0"/>
    </xf>
    <xf numFmtId="169" fontId="7" fillId="0" borderId="25" xfId="0" applyNumberFormat="1" applyFont="1" applyBorder="1" applyAlignment="1">
      <alignment vertical="center"/>
    </xf>
    <xf numFmtId="1" fontId="0" fillId="0" borderId="0" xfId="0" applyNumberFormat="1" applyAlignment="1">
      <alignment vertical="center"/>
    </xf>
    <xf numFmtId="49" fontId="7" fillId="0" borderId="0" xfId="0" applyNumberFormat="1" applyFont="1" applyAlignment="1">
      <alignment vertical="center"/>
    </xf>
    <xf numFmtId="0" fontId="25" fillId="0" borderId="17" xfId="0" applyFont="1" applyBorder="1" applyAlignment="1">
      <alignment horizontal="center" vertical="center" wrapText="1"/>
    </xf>
    <xf numFmtId="0" fontId="25" fillId="0" borderId="17" xfId="0" applyFont="1" applyBorder="1" applyAlignment="1">
      <alignment horizontal="center" vertical="center"/>
    </xf>
    <xf numFmtId="0" fontId="8" fillId="0" borderId="17" xfId="0" applyFont="1" applyBorder="1" applyAlignment="1">
      <alignment horizontal="center" vertical="center" wrapText="1"/>
    </xf>
    <xf numFmtId="3" fontId="25" fillId="0" borderId="17" xfId="0" applyNumberFormat="1" applyFont="1" applyBorder="1" applyAlignment="1">
      <alignment horizontal="center" vertical="center"/>
    </xf>
    <xf numFmtId="0" fontId="25" fillId="0" borderId="17" xfId="0" applyFont="1" applyBorder="1" applyAlignment="1">
      <alignment horizontal="left" vertical="center"/>
    </xf>
    <xf numFmtId="14" fontId="25" fillId="0" borderId="17" xfId="0" applyNumberFormat="1" applyFont="1" applyBorder="1" applyAlignment="1">
      <alignment horizontal="center" vertical="center"/>
    </xf>
    <xf numFmtId="169" fontId="25" fillId="0" borderId="17" xfId="0" applyNumberFormat="1" applyFont="1" applyBorder="1" applyAlignment="1">
      <alignment horizontal="right" vertical="center"/>
    </xf>
    <xf numFmtId="10" fontId="25" fillId="0" borderId="17" xfId="0" applyNumberFormat="1" applyFont="1" applyBorder="1" applyAlignment="1">
      <alignment horizontal="center" vertical="center"/>
    </xf>
    <xf numFmtId="0" fontId="25" fillId="0" borderId="17" xfId="0" applyFont="1" applyBorder="1"/>
    <xf numFmtId="10" fontId="25" fillId="0" borderId="17" xfId="0" applyNumberFormat="1" applyFont="1" applyBorder="1"/>
    <xf numFmtId="14" fontId="25" fillId="0" borderId="17" xfId="0" applyNumberFormat="1" applyFont="1" applyBorder="1"/>
    <xf numFmtId="4" fontId="5" fillId="0" borderId="54" xfId="0" applyNumberFormat="1" applyFont="1" applyBorder="1" applyAlignment="1">
      <alignment horizontal="center" vertical="center"/>
    </xf>
    <xf numFmtId="172" fontId="15" fillId="0" borderId="0" xfId="0" applyNumberFormat="1" applyFont="1"/>
    <xf numFmtId="0" fontId="33" fillId="0" borderId="62" xfId="0" applyFont="1" applyBorder="1" applyAlignment="1">
      <alignment horizontal="center" vertical="center"/>
    </xf>
    <xf numFmtId="0" fontId="20" fillId="0" borderId="63" xfId="0" applyFont="1" applyBorder="1" applyAlignment="1">
      <alignment vertical="center"/>
    </xf>
    <xf numFmtId="0" fontId="6" fillId="0" borderId="0" xfId="0" applyFont="1" applyAlignment="1" applyProtection="1">
      <alignment horizontal="center" vertical="center"/>
      <protection locked="0"/>
    </xf>
    <xf numFmtId="0" fontId="16" fillId="0" borderId="34" xfId="0" applyFont="1" applyBorder="1" applyAlignment="1">
      <alignment horizontal="center" vertical="center"/>
    </xf>
    <xf numFmtId="0" fontId="16" fillId="0" borderId="30" xfId="0" applyFont="1" applyBorder="1" applyAlignment="1">
      <alignment horizontal="center" vertical="center"/>
    </xf>
    <xf numFmtId="0" fontId="6" fillId="0" borderId="26" xfId="0" applyFont="1" applyBorder="1" applyAlignment="1">
      <alignment horizontal="center" vertical="center"/>
    </xf>
    <xf numFmtId="190" fontId="5" fillId="0" borderId="40" xfId="0" applyNumberFormat="1" applyFont="1" applyBorder="1" applyAlignment="1">
      <alignment vertical="center"/>
    </xf>
    <xf numFmtId="0" fontId="16" fillId="0" borderId="25" xfId="0" applyFont="1" applyBorder="1" applyAlignment="1">
      <alignment horizontal="center" vertical="center"/>
    </xf>
    <xf numFmtId="0" fontId="16" fillId="0" borderId="41" xfId="0" applyFont="1" applyBorder="1" applyAlignment="1">
      <alignment horizontal="center" vertical="center"/>
    </xf>
    <xf numFmtId="0" fontId="16" fillId="0" borderId="44" xfId="0" applyFont="1" applyBorder="1" applyAlignment="1">
      <alignment horizontal="center" vertical="center"/>
    </xf>
    <xf numFmtId="169" fontId="2" fillId="0" borderId="14" xfId="0" applyNumberFormat="1" applyFont="1" applyBorder="1" applyAlignment="1">
      <alignment vertical="center"/>
    </xf>
    <xf numFmtId="172" fontId="2" fillId="0" borderId="39" xfId="0" applyNumberFormat="1" applyFont="1" applyBorder="1" applyAlignment="1">
      <alignment horizontal="center" vertical="center"/>
    </xf>
    <xf numFmtId="10" fontId="2" fillId="0" borderId="48" xfId="0" applyNumberFormat="1" applyFont="1" applyBorder="1" applyAlignment="1">
      <alignment horizontal="center" vertical="center"/>
    </xf>
    <xf numFmtId="10" fontId="2" fillId="0" borderId="13" xfId="0" applyNumberFormat="1" applyFont="1" applyBorder="1" applyAlignment="1">
      <alignment horizontal="center" vertical="center"/>
    </xf>
    <xf numFmtId="0" fontId="27" fillId="3" borderId="27" xfId="0" applyFont="1" applyFill="1" applyBorder="1" applyAlignment="1">
      <alignment vertical="center"/>
    </xf>
    <xf numFmtId="0" fontId="27" fillId="3" borderId="15" xfId="0" applyFont="1" applyFill="1" applyBorder="1" applyAlignment="1">
      <alignment vertical="center"/>
    </xf>
    <xf numFmtId="17" fontId="27" fillId="3" borderId="15" xfId="0" applyNumberFormat="1" applyFont="1" applyFill="1" applyBorder="1" applyAlignment="1">
      <alignment horizontal="right" vertical="center"/>
    </xf>
    <xf numFmtId="0" fontId="20" fillId="3" borderId="27" xfId="0" applyFont="1" applyFill="1" applyBorder="1" applyAlignment="1">
      <alignment vertical="center"/>
    </xf>
    <xf numFmtId="0" fontId="14" fillId="3" borderId="15" xfId="0" applyFont="1" applyFill="1" applyBorder="1" applyAlignment="1">
      <alignment vertical="center"/>
    </xf>
    <xf numFmtId="0" fontId="7" fillId="0" borderId="17" xfId="0" applyFont="1" applyBorder="1" applyAlignment="1">
      <alignment vertical="center"/>
    </xf>
    <xf numFmtId="169" fontId="2" fillId="0" borderId="11" xfId="0" applyNumberFormat="1" applyFont="1" applyBorder="1" applyAlignment="1" applyProtection="1">
      <alignment vertical="center"/>
      <protection locked="0"/>
    </xf>
    <xf numFmtId="169" fontId="2" fillId="0" borderId="68" xfId="0" applyNumberFormat="1" applyFont="1" applyBorder="1" applyAlignment="1" applyProtection="1">
      <alignment vertical="center"/>
      <protection locked="0"/>
    </xf>
    <xf numFmtId="169" fontId="2" fillId="0" borderId="69" xfId="0" applyNumberFormat="1" applyFont="1" applyBorder="1" applyAlignment="1">
      <alignment vertical="center"/>
    </xf>
    <xf numFmtId="190" fontId="2" fillId="0" borderId="40" xfId="0" applyNumberFormat="1" applyFont="1" applyBorder="1" applyAlignment="1">
      <alignment vertical="center"/>
    </xf>
    <xf numFmtId="169" fontId="2" fillId="0" borderId="23" xfId="0" applyNumberFormat="1" applyFont="1" applyBorder="1" applyAlignment="1">
      <alignment vertical="center"/>
    </xf>
    <xf numFmtId="169" fontId="2" fillId="0" borderId="6" xfId="0" applyNumberFormat="1" applyFont="1" applyBorder="1" applyAlignment="1">
      <alignment vertical="center"/>
    </xf>
    <xf numFmtId="169" fontId="2" fillId="0" borderId="12" xfId="0" applyNumberFormat="1" applyFont="1" applyBorder="1" applyAlignment="1">
      <alignment horizontal="right" vertical="center"/>
    </xf>
    <xf numFmtId="4" fontId="2" fillId="0" borderId="13" xfId="0" applyNumberFormat="1" applyFont="1" applyBorder="1" applyAlignment="1">
      <alignment horizontal="center" vertical="center"/>
    </xf>
    <xf numFmtId="0" fontId="15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3" fontId="5" fillId="0" borderId="2" xfId="0" applyNumberFormat="1" applyFont="1" applyBorder="1" applyAlignment="1">
      <alignment horizontal="right" vertical="center"/>
    </xf>
    <xf numFmtId="10" fontId="5" fillId="0" borderId="5" xfId="0" applyNumberFormat="1" applyFont="1" applyBorder="1" applyAlignment="1">
      <alignment horizontal="center" vertical="center"/>
    </xf>
    <xf numFmtId="168" fontId="5" fillId="0" borderId="7" xfId="0" applyNumberFormat="1" applyFont="1" applyBorder="1" applyAlignment="1">
      <alignment horizontal="left" vertical="center"/>
    </xf>
    <xf numFmtId="10" fontId="5" fillId="0" borderId="8" xfId="0" applyNumberFormat="1" applyFont="1" applyBorder="1" applyAlignment="1">
      <alignment horizontal="center" vertical="center"/>
    </xf>
    <xf numFmtId="0" fontId="15" fillId="0" borderId="74" xfId="0" applyFont="1" applyBorder="1" applyAlignment="1">
      <alignment horizontal="center" vertical="center"/>
    </xf>
    <xf numFmtId="168" fontId="5" fillId="0" borderId="11" xfId="0" applyNumberFormat="1" applyFont="1" applyBorder="1" applyAlignment="1">
      <alignment horizontal="left" vertical="center"/>
    </xf>
    <xf numFmtId="10" fontId="5" fillId="0" borderId="66" xfId="0" applyNumberFormat="1" applyFont="1" applyBorder="1" applyAlignment="1">
      <alignment horizontal="center" vertical="center"/>
    </xf>
    <xf numFmtId="169" fontId="5" fillId="0" borderId="40" xfId="0" applyNumberFormat="1" applyFont="1" applyBorder="1" applyAlignment="1">
      <alignment vertical="center"/>
    </xf>
    <xf numFmtId="169" fontId="2" fillId="0" borderId="40" xfId="0" applyNumberFormat="1" applyFont="1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vertical="center"/>
    </xf>
    <xf numFmtId="0" fontId="1" fillId="0" borderId="0" xfId="0" applyFont="1" applyAlignment="1" applyProtection="1">
      <alignment vertical="center"/>
      <protection locked="0"/>
    </xf>
    <xf numFmtId="0" fontId="1" fillId="0" borderId="1" xfId="0" applyFont="1" applyBorder="1"/>
    <xf numFmtId="0" fontId="1" fillId="0" borderId="0" xfId="0" applyFont="1"/>
    <xf numFmtId="0" fontId="1" fillId="0" borderId="26" xfId="0" applyFont="1" applyBorder="1" applyAlignment="1" applyProtection="1">
      <alignment vertical="center"/>
      <protection locked="0"/>
    </xf>
    <xf numFmtId="0" fontId="1" fillId="0" borderId="24" xfId="0" applyFont="1" applyBorder="1"/>
    <xf numFmtId="1" fontId="1" fillId="0" borderId="0" xfId="0" applyNumberFormat="1" applyFont="1" applyAlignment="1">
      <alignment vertical="center"/>
    </xf>
    <xf numFmtId="0" fontId="1" fillId="0" borderId="15" xfId="0" applyFont="1" applyBorder="1" applyAlignment="1">
      <alignment vertical="center"/>
    </xf>
    <xf numFmtId="0" fontId="1" fillId="0" borderId="28" xfId="0" applyFont="1" applyBorder="1" applyAlignment="1">
      <alignment vertical="center"/>
    </xf>
    <xf numFmtId="4" fontId="2" fillId="0" borderId="50" xfId="0" applyNumberFormat="1" applyFont="1" applyBorder="1" applyAlignment="1">
      <alignment horizontal="center" vertical="center"/>
    </xf>
    <xf numFmtId="4" fontId="2" fillId="0" borderId="45" xfId="0" applyNumberFormat="1" applyFont="1" applyBorder="1" applyAlignment="1">
      <alignment horizontal="center" vertical="center"/>
    </xf>
    <xf numFmtId="2" fontId="2" fillId="0" borderId="51" xfId="0" applyNumberFormat="1" applyFont="1" applyBorder="1" applyAlignment="1" applyProtection="1">
      <alignment horizontal="center" vertical="center"/>
      <protection locked="0"/>
    </xf>
    <xf numFmtId="3" fontId="2" fillId="0" borderId="53" xfId="0" applyNumberFormat="1" applyFont="1" applyBorder="1" applyAlignment="1">
      <alignment horizontal="center" vertical="center"/>
    </xf>
    <xf numFmtId="3" fontId="2" fillId="0" borderId="39" xfId="0" applyNumberFormat="1" applyFont="1" applyBorder="1" applyAlignment="1">
      <alignment horizontal="center" vertical="center"/>
    </xf>
    <xf numFmtId="3" fontId="1" fillId="0" borderId="0" xfId="0" applyNumberFormat="1" applyFont="1" applyAlignment="1">
      <alignment vertical="center"/>
    </xf>
    <xf numFmtId="0" fontId="1" fillId="0" borderId="29" xfId="0" applyFont="1" applyBorder="1" applyAlignment="1">
      <alignment vertical="center"/>
    </xf>
    <xf numFmtId="0" fontId="1" fillId="0" borderId="16" xfId="0" applyFont="1" applyBorder="1" applyAlignment="1">
      <alignment vertical="center"/>
    </xf>
    <xf numFmtId="0" fontId="1" fillId="0" borderId="18" xfId="0" applyFont="1" applyBorder="1" applyAlignment="1">
      <alignment vertical="center"/>
    </xf>
    <xf numFmtId="179" fontId="2" fillId="0" borderId="13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vertical="center"/>
    </xf>
    <xf numFmtId="0" fontId="2" fillId="0" borderId="4" xfId="0" applyFont="1" applyBorder="1" applyAlignment="1">
      <alignment horizontal="center" vertical="center"/>
    </xf>
    <xf numFmtId="0" fontId="1" fillId="0" borderId="2" xfId="0" applyFont="1" applyBorder="1" applyAlignment="1">
      <alignment vertical="center"/>
    </xf>
    <xf numFmtId="0" fontId="2" fillId="0" borderId="2" xfId="0" applyFont="1" applyBorder="1" applyAlignment="1">
      <alignment horizontal="center" vertical="center"/>
    </xf>
    <xf numFmtId="169" fontId="2" fillId="0" borderId="2" xfId="0" applyNumberFormat="1" applyFont="1" applyBorder="1" applyAlignment="1">
      <alignment vertical="center"/>
    </xf>
    <xf numFmtId="0" fontId="11" fillId="0" borderId="2" xfId="0" applyFont="1" applyBorder="1" applyAlignment="1">
      <alignment vertical="center" wrapText="1"/>
    </xf>
    <xf numFmtId="0" fontId="2" fillId="0" borderId="2" xfId="0" applyFont="1" applyBorder="1" applyAlignment="1">
      <alignment vertical="center"/>
    </xf>
    <xf numFmtId="3" fontId="2" fillId="0" borderId="5" xfId="0" applyNumberFormat="1" applyFont="1" applyBorder="1" applyAlignment="1">
      <alignment horizontal="right" vertical="center"/>
    </xf>
    <xf numFmtId="10" fontId="2" fillId="0" borderId="6" xfId="0" applyNumberFormat="1" applyFont="1" applyBorder="1" applyAlignment="1">
      <alignment horizontal="center" vertical="center"/>
    </xf>
    <xf numFmtId="170" fontId="2" fillId="0" borderId="26" xfId="0" applyNumberFormat="1" applyFont="1" applyBorder="1" applyAlignment="1">
      <alignment vertical="center"/>
    </xf>
    <xf numFmtId="170" fontId="2" fillId="0" borderId="0" xfId="0" applyNumberFormat="1" applyFont="1" applyAlignment="1">
      <alignment vertical="center"/>
    </xf>
    <xf numFmtId="175" fontId="2" fillId="0" borderId="24" xfId="0" applyNumberFormat="1" applyFont="1" applyBorder="1" applyAlignment="1">
      <alignment vertical="center"/>
    </xf>
    <xf numFmtId="169" fontId="2" fillId="0" borderId="24" xfId="0" applyNumberFormat="1" applyFont="1" applyBorder="1" applyAlignment="1">
      <alignment vertical="center"/>
    </xf>
    <xf numFmtId="168" fontId="2" fillId="0" borderId="8" xfId="0" applyNumberFormat="1" applyFont="1" applyBorder="1" applyAlignment="1">
      <alignment horizontal="left" vertical="center"/>
    </xf>
    <xf numFmtId="10" fontId="2" fillId="0" borderId="9" xfId="0" applyNumberFormat="1" applyFont="1" applyBorder="1" applyAlignment="1">
      <alignment horizontal="center" vertical="center"/>
    </xf>
    <xf numFmtId="0" fontId="11" fillId="0" borderId="4" xfId="0" applyFont="1" applyBorder="1" applyAlignment="1">
      <alignment vertical="center" wrapText="1"/>
    </xf>
    <xf numFmtId="168" fontId="2" fillId="0" borderId="66" xfId="0" applyNumberFormat="1" applyFont="1" applyBorder="1" applyAlignment="1">
      <alignment horizontal="left" vertical="center"/>
    </xf>
    <xf numFmtId="10" fontId="2" fillId="0" borderId="22" xfId="0" applyNumberFormat="1" applyFont="1" applyBorder="1" applyAlignment="1">
      <alignment horizontal="center" vertical="center"/>
    </xf>
    <xf numFmtId="3" fontId="2" fillId="0" borderId="25" xfId="0" applyNumberFormat="1" applyFont="1" applyBorder="1" applyAlignment="1">
      <alignment vertical="center"/>
    </xf>
    <xf numFmtId="0" fontId="11" fillId="0" borderId="10" xfId="0" applyFont="1" applyBorder="1" applyAlignment="1">
      <alignment vertical="center" wrapText="1"/>
    </xf>
    <xf numFmtId="0" fontId="11" fillId="0" borderId="27" xfId="0" applyFont="1" applyBorder="1" applyAlignment="1">
      <alignment horizontal="left" vertical="center" indent="2"/>
    </xf>
    <xf numFmtId="0" fontId="11" fillId="0" borderId="15" xfId="0" applyFont="1" applyBorder="1" applyAlignment="1">
      <alignment horizontal="left" vertical="center" indent="2"/>
    </xf>
    <xf numFmtId="0" fontId="2" fillId="0" borderId="2" xfId="0" applyFont="1" applyBorder="1" applyAlignment="1">
      <alignment vertical="center" wrapText="1"/>
    </xf>
    <xf numFmtId="169" fontId="2" fillId="0" borderId="13" xfId="0" applyNumberFormat="1" applyFont="1" applyBorder="1" applyAlignment="1">
      <alignment vertical="center"/>
    </xf>
    <xf numFmtId="0" fontId="2" fillId="0" borderId="11" xfId="0" applyFont="1" applyBorder="1" applyAlignment="1">
      <alignment vertical="center" wrapText="1"/>
    </xf>
    <xf numFmtId="169" fontId="2" fillId="0" borderId="22" xfId="0" applyNumberFormat="1" applyFont="1" applyBorder="1" applyAlignment="1">
      <alignment vertical="center"/>
    </xf>
    <xf numFmtId="169" fontId="2" fillId="0" borderId="22" xfId="0" applyNumberFormat="1" applyFont="1" applyBorder="1" applyAlignment="1" applyProtection="1">
      <alignment vertical="center"/>
      <protection locked="0"/>
    </xf>
    <xf numFmtId="169" fontId="2" fillId="0" borderId="39" xfId="0" applyNumberFormat="1" applyFont="1" applyBorder="1" applyAlignment="1">
      <alignment horizontal="right" vertical="center"/>
    </xf>
    <xf numFmtId="169" fontId="2" fillId="0" borderId="40" xfId="0" applyNumberFormat="1" applyFont="1" applyBorder="1" applyAlignment="1">
      <alignment horizontal="right" vertical="center"/>
    </xf>
    <xf numFmtId="0" fontId="2" fillId="0" borderId="5" xfId="0" applyFont="1" applyBorder="1" applyAlignment="1" applyProtection="1">
      <alignment vertical="center"/>
      <protection locked="0"/>
    </xf>
    <xf numFmtId="0" fontId="4" fillId="3" borderId="15" xfId="0" applyFont="1" applyFill="1" applyBorder="1" applyAlignment="1">
      <alignment vertical="center"/>
    </xf>
    <xf numFmtId="169" fontId="2" fillId="0" borderId="0" xfId="0" applyNumberFormat="1" applyFont="1" applyAlignment="1">
      <alignment vertical="center"/>
    </xf>
    <xf numFmtId="169" fontId="7" fillId="0" borderId="21" xfId="6" applyNumberFormat="1" applyFont="1" applyBorder="1" applyAlignment="1">
      <alignment vertical="center"/>
    </xf>
    <xf numFmtId="0" fontId="15" fillId="0" borderId="2" xfId="0" applyFont="1" applyBorder="1" applyAlignment="1">
      <alignment horizontal="right" vertical="center"/>
    </xf>
    <xf numFmtId="10" fontId="5" fillId="0" borderId="2" xfId="0" applyNumberFormat="1" applyFont="1" applyBorder="1" applyAlignment="1">
      <alignment horizontal="center" vertical="center"/>
    </xf>
    <xf numFmtId="10" fontId="2" fillId="0" borderId="2" xfId="0" applyNumberFormat="1" applyFont="1" applyBorder="1" applyAlignment="1">
      <alignment horizontal="center" vertical="center"/>
    </xf>
    <xf numFmtId="169" fontId="5" fillId="0" borderId="13" xfId="0" applyNumberFormat="1" applyFont="1" applyBorder="1" applyAlignment="1" applyProtection="1">
      <alignment horizontal="right" vertical="center"/>
      <protection locked="0"/>
    </xf>
    <xf numFmtId="169" fontId="7" fillId="0" borderId="61" xfId="0" applyNumberFormat="1" applyFont="1" applyBorder="1" applyAlignment="1">
      <alignment vertical="center"/>
    </xf>
    <xf numFmtId="169" fontId="7" fillId="0" borderId="30" xfId="0" applyNumberFormat="1" applyFont="1" applyBorder="1" applyAlignment="1">
      <alignment vertical="center"/>
    </xf>
    <xf numFmtId="169" fontId="11" fillId="3" borderId="27" xfId="0" applyNumberFormat="1" applyFont="1" applyFill="1" applyBorder="1" applyAlignment="1">
      <alignment vertical="center"/>
    </xf>
    <xf numFmtId="0" fontId="2" fillId="0" borderId="0" xfId="0" applyFont="1" applyAlignment="1">
      <alignment vertical="center" textRotation="90"/>
    </xf>
    <xf numFmtId="0" fontId="6" fillId="0" borderId="26" xfId="0" applyFont="1" applyBorder="1" applyAlignment="1">
      <alignment horizontal="left" vertical="center"/>
    </xf>
    <xf numFmtId="0" fontId="6" fillId="0" borderId="29" xfId="0" applyFont="1" applyBorder="1" applyAlignment="1">
      <alignment horizontal="left" vertical="center"/>
    </xf>
    <xf numFmtId="0" fontId="2" fillId="0" borderId="16" xfId="0" applyFont="1" applyBorder="1" applyAlignment="1">
      <alignment vertical="center" textRotation="90"/>
    </xf>
    <xf numFmtId="169" fontId="5" fillId="5" borderId="6" xfId="0" applyNumberFormat="1" applyFont="1" applyFill="1" applyBorder="1" applyAlignment="1" applyProtection="1">
      <alignment horizontal="right" vertical="center"/>
      <protection locked="0"/>
    </xf>
    <xf numFmtId="169" fontId="2" fillId="5" borderId="6" xfId="0" applyNumberFormat="1" applyFont="1" applyFill="1" applyBorder="1" applyAlignment="1" applyProtection="1">
      <alignment horizontal="right" vertical="center"/>
      <protection locked="0"/>
    </xf>
    <xf numFmtId="169" fontId="5" fillId="5" borderId="13" xfId="0" applyNumberFormat="1" applyFont="1" applyFill="1" applyBorder="1" applyAlignment="1" applyProtection="1">
      <alignment horizontal="right" vertical="center"/>
      <protection locked="0"/>
    </xf>
    <xf numFmtId="169" fontId="2" fillId="5" borderId="13" xfId="0" applyNumberFormat="1" applyFont="1" applyFill="1" applyBorder="1" applyAlignment="1" applyProtection="1">
      <alignment horizontal="right" vertical="center"/>
      <protection locked="0"/>
    </xf>
    <xf numFmtId="0" fontId="2" fillId="5" borderId="71" xfId="0" applyFont="1" applyFill="1" applyBorder="1" applyAlignment="1" applyProtection="1">
      <alignment horizontal="center" vertical="center"/>
      <protection locked="0"/>
    </xf>
    <xf numFmtId="0" fontId="2" fillId="5" borderId="23" xfId="0" applyFont="1" applyFill="1" applyBorder="1" applyAlignment="1" applyProtection="1">
      <alignment horizontal="center" vertical="center"/>
      <protection locked="0"/>
    </xf>
    <xf numFmtId="0" fontId="2" fillId="5" borderId="72" xfId="0" applyFont="1" applyFill="1" applyBorder="1" applyAlignment="1" applyProtection="1">
      <alignment horizontal="center" vertical="center"/>
      <protection locked="0"/>
    </xf>
    <xf numFmtId="0" fontId="2" fillId="5" borderId="73" xfId="0" applyFont="1" applyFill="1" applyBorder="1" applyAlignment="1" applyProtection="1">
      <alignment horizontal="center" vertical="center"/>
      <protection locked="0"/>
    </xf>
    <xf numFmtId="0" fontId="2" fillId="5" borderId="6" xfId="0" applyFont="1" applyFill="1" applyBorder="1" applyAlignment="1" applyProtection="1">
      <alignment horizontal="center" vertical="center"/>
      <protection locked="0"/>
    </xf>
    <xf numFmtId="0" fontId="2" fillId="5" borderId="64" xfId="0" applyFont="1" applyFill="1" applyBorder="1" applyAlignment="1" applyProtection="1">
      <alignment horizontal="center" vertical="center"/>
      <protection locked="0"/>
    </xf>
    <xf numFmtId="0" fontId="12" fillId="5" borderId="6" xfId="0" applyFont="1" applyFill="1" applyBorder="1" applyAlignment="1" applyProtection="1">
      <alignment horizontal="center" vertical="center"/>
      <protection locked="0"/>
    </xf>
    <xf numFmtId="0" fontId="12" fillId="5" borderId="64" xfId="0" applyFont="1" applyFill="1" applyBorder="1" applyAlignment="1" applyProtection="1">
      <alignment horizontal="center" vertical="center"/>
      <protection locked="0"/>
    </xf>
    <xf numFmtId="0" fontId="5" fillId="5" borderId="3" xfId="0" applyFont="1" applyFill="1" applyBorder="1" applyAlignment="1" applyProtection="1">
      <alignment vertical="center"/>
      <protection locked="0"/>
    </xf>
    <xf numFmtId="0" fontId="21" fillId="5" borderId="48" xfId="0" applyFont="1" applyFill="1" applyBorder="1" applyAlignment="1" applyProtection="1">
      <alignment horizontal="center" vertical="center"/>
      <protection locked="0"/>
    </xf>
    <xf numFmtId="178" fontId="5" fillId="5" borderId="70" xfId="1" applyNumberFormat="1" applyFont="1" applyFill="1" applyBorder="1" applyAlignment="1" applyProtection="1">
      <alignment vertical="center"/>
      <protection locked="0"/>
    </xf>
    <xf numFmtId="0" fontId="5" fillId="5" borderId="5" xfId="0" applyFont="1" applyFill="1" applyBorder="1" applyAlignment="1" applyProtection="1">
      <alignment vertical="center"/>
      <protection locked="0"/>
    </xf>
    <xf numFmtId="0" fontId="21" fillId="5" borderId="13" xfId="0" applyFont="1" applyFill="1" applyBorder="1" applyAlignment="1" applyProtection="1">
      <alignment horizontal="center" vertical="center"/>
      <protection locked="0"/>
    </xf>
    <xf numFmtId="178" fontId="5" fillId="5" borderId="5" xfId="1" applyNumberFormat="1" applyFont="1" applyFill="1" applyBorder="1" applyAlignment="1" applyProtection="1">
      <alignment vertical="center"/>
      <protection locked="0"/>
    </xf>
    <xf numFmtId="0" fontId="2" fillId="5" borderId="3" xfId="0" applyFont="1" applyFill="1" applyBorder="1" applyAlignment="1" applyProtection="1">
      <alignment vertical="center"/>
      <protection locked="0"/>
    </xf>
    <xf numFmtId="178" fontId="2" fillId="5" borderId="70" xfId="1" applyNumberFormat="1" applyFont="1" applyFill="1" applyBorder="1" applyAlignment="1" applyProtection="1">
      <alignment vertical="center"/>
      <protection locked="0"/>
    </xf>
    <xf numFmtId="0" fontId="2" fillId="5" borderId="5" xfId="0" applyFont="1" applyFill="1" applyBorder="1" applyAlignment="1" applyProtection="1">
      <alignment vertical="center"/>
      <protection locked="0"/>
    </xf>
    <xf numFmtId="178" fontId="2" fillId="5" borderId="5" xfId="1" applyNumberFormat="1" applyFont="1" applyFill="1" applyBorder="1" applyAlignment="1" applyProtection="1">
      <alignment vertical="center"/>
      <protection locked="0"/>
    </xf>
    <xf numFmtId="0" fontId="2" fillId="5" borderId="5" xfId="5" applyFont="1" applyFill="1" applyBorder="1" applyAlignment="1" applyProtection="1">
      <alignment vertical="center"/>
      <protection locked="0"/>
    </xf>
    <xf numFmtId="0" fontId="21" fillId="5" borderId="13" xfId="5" applyFont="1" applyFill="1" applyBorder="1" applyAlignment="1" applyProtection="1">
      <alignment horizontal="center" vertical="center"/>
      <protection locked="0"/>
    </xf>
    <xf numFmtId="14" fontId="2" fillId="5" borderId="1" xfId="0" applyNumberFormat="1" applyFont="1" applyFill="1" applyBorder="1" applyAlignment="1" applyProtection="1">
      <alignment horizontal="left" vertical="center"/>
      <protection locked="0"/>
    </xf>
    <xf numFmtId="1" fontId="30" fillId="5" borderId="17" xfId="0" applyNumberFormat="1" applyFont="1" applyFill="1" applyBorder="1" applyAlignment="1" applyProtection="1">
      <alignment horizontal="center" vertical="center"/>
      <protection locked="0"/>
    </xf>
    <xf numFmtId="1" fontId="35" fillId="5" borderId="17" xfId="0" applyNumberFormat="1" applyFont="1" applyFill="1" applyBorder="1" applyAlignment="1" applyProtection="1">
      <alignment horizontal="center" vertical="center"/>
      <protection locked="0"/>
    </xf>
    <xf numFmtId="1" fontId="3" fillId="5" borderId="17" xfId="0" applyNumberFormat="1" applyFont="1" applyFill="1" applyBorder="1" applyAlignment="1" applyProtection="1">
      <alignment horizontal="center" vertical="center"/>
      <protection locked="0"/>
    </xf>
    <xf numFmtId="0" fontId="2" fillId="0" borderId="71" xfId="0" applyFont="1" applyBorder="1" applyAlignment="1" applyProtection="1">
      <alignment horizontal="center" vertical="center"/>
      <protection locked="0"/>
    </xf>
    <xf numFmtId="0" fontId="2" fillId="0" borderId="23" xfId="0" applyFont="1" applyBorder="1" applyAlignment="1" applyProtection="1">
      <alignment horizontal="center" vertical="center"/>
      <protection locked="0"/>
    </xf>
    <xf numFmtId="0" fontId="2" fillId="0" borderId="73" xfId="0" applyFont="1" applyBorder="1" applyAlignment="1" applyProtection="1">
      <alignment horizontal="center" vertical="center"/>
      <protection locked="0"/>
    </xf>
    <xf numFmtId="0" fontId="2" fillId="0" borderId="6" xfId="0" applyFont="1" applyBorder="1" applyAlignment="1" applyProtection="1">
      <alignment horizontal="center" vertical="center"/>
      <protection locked="0"/>
    </xf>
    <xf numFmtId="0" fontId="12" fillId="0" borderId="6" xfId="0" applyFont="1" applyBorder="1" applyAlignment="1" applyProtection="1">
      <alignment horizontal="center" vertical="center"/>
      <protection locked="0"/>
    </xf>
    <xf numFmtId="2" fontId="7" fillId="0" borderId="46" xfId="0" applyNumberFormat="1" applyFont="1" applyBorder="1" applyAlignment="1">
      <alignment horizontal="center" vertical="center"/>
    </xf>
    <xf numFmtId="169" fontId="7" fillId="0" borderId="47" xfId="0" applyNumberFormat="1" applyFont="1" applyBorder="1" applyAlignment="1" applyProtection="1">
      <alignment vertical="center"/>
      <protection locked="0"/>
    </xf>
    <xf numFmtId="2" fontId="7" fillId="0" borderId="56" xfId="0" applyNumberFormat="1" applyFont="1" applyBorder="1" applyAlignment="1">
      <alignment horizontal="center" vertical="center"/>
    </xf>
    <xf numFmtId="3" fontId="7" fillId="0" borderId="56" xfId="0" applyNumberFormat="1" applyFont="1" applyBorder="1" applyAlignment="1">
      <alignment horizontal="center" vertical="center"/>
    </xf>
    <xf numFmtId="3" fontId="7" fillId="0" borderId="46" xfId="0" applyNumberFormat="1" applyFont="1" applyBorder="1" applyAlignment="1">
      <alignment horizontal="center" vertical="center"/>
    </xf>
    <xf numFmtId="4" fontId="7" fillId="0" borderId="46" xfId="0" applyNumberFormat="1" applyFont="1" applyBorder="1" applyAlignment="1">
      <alignment horizontal="center" vertical="center"/>
    </xf>
    <xf numFmtId="0" fontId="22" fillId="0" borderId="34" xfId="0" applyFont="1" applyBorder="1" applyAlignment="1">
      <alignment horizontal="center" vertical="center"/>
    </xf>
    <xf numFmtId="0" fontId="22" fillId="0" borderId="30" xfId="0" applyFont="1" applyBorder="1" applyAlignment="1">
      <alignment horizontal="center" vertical="center"/>
    </xf>
    <xf numFmtId="0" fontId="22" fillId="0" borderId="41" xfId="0" applyFont="1" applyBorder="1" applyAlignment="1">
      <alignment horizontal="center" vertical="center"/>
    </xf>
    <xf numFmtId="192" fontId="2" fillId="0" borderId="0" xfId="0" applyNumberFormat="1" applyFont="1" applyAlignment="1">
      <alignment horizontal="left" vertical="center"/>
    </xf>
    <xf numFmtId="0" fontId="22" fillId="0" borderId="37" xfId="0" applyFont="1" applyBorder="1" applyAlignment="1" applyProtection="1">
      <alignment vertical="center"/>
      <protection locked="0"/>
    </xf>
    <xf numFmtId="0" fontId="5" fillId="0" borderId="10" xfId="0" applyFont="1" applyBorder="1" applyAlignment="1" applyProtection="1">
      <alignment horizontal="right" vertical="center"/>
      <protection locked="0"/>
    </xf>
    <xf numFmtId="0" fontId="8" fillId="0" borderId="10" xfId="0" applyFont="1" applyBorder="1" applyAlignment="1" applyProtection="1">
      <alignment horizontal="right" vertical="center"/>
      <protection locked="0"/>
    </xf>
    <xf numFmtId="0" fontId="0" fillId="0" borderId="10" xfId="0" applyBorder="1" applyAlignment="1" applyProtection="1">
      <alignment vertical="center"/>
      <protection locked="0"/>
    </xf>
    <xf numFmtId="169" fontId="7" fillId="0" borderId="37" xfId="0" applyNumberFormat="1" applyFont="1" applyBorder="1" applyAlignment="1">
      <alignment horizontal="right" vertical="center"/>
    </xf>
    <xf numFmtId="0" fontId="22" fillId="0" borderId="38" xfId="0" applyFont="1" applyBorder="1" applyAlignment="1">
      <alignment vertical="center" wrapText="1"/>
    </xf>
    <xf numFmtId="169" fontId="5" fillId="0" borderId="9" xfId="0" applyNumberFormat="1" applyFont="1" applyBorder="1" applyAlignment="1">
      <alignment horizontal="right" vertical="center"/>
    </xf>
    <xf numFmtId="0" fontId="6" fillId="0" borderId="9" xfId="0" applyFont="1" applyBorder="1" applyAlignment="1" applyProtection="1">
      <alignment horizontal="center" vertical="center"/>
      <protection locked="0"/>
    </xf>
    <xf numFmtId="169" fontId="5" fillId="0" borderId="12" xfId="0" applyNumberFormat="1" applyFont="1" applyBorder="1" applyAlignment="1" applyProtection="1">
      <alignment horizontal="center" vertical="center"/>
      <protection locked="0"/>
    </xf>
    <xf numFmtId="0" fontId="12" fillId="0" borderId="37" xfId="0" applyFont="1" applyBorder="1" applyAlignment="1" applyProtection="1">
      <alignment vertical="center"/>
      <protection locked="0"/>
    </xf>
    <xf numFmtId="169" fontId="7" fillId="0" borderId="37" xfId="0" applyNumberFormat="1" applyFont="1" applyBorder="1" applyAlignment="1" applyProtection="1">
      <alignment horizontal="right" vertical="center"/>
      <protection locked="0"/>
    </xf>
    <xf numFmtId="0" fontId="2" fillId="0" borderId="10" xfId="0" applyFont="1" applyBorder="1" applyAlignment="1" applyProtection="1">
      <alignment horizontal="right" vertical="center"/>
      <protection locked="0"/>
    </xf>
    <xf numFmtId="0" fontId="6" fillId="0" borderId="10" xfId="0" applyFont="1" applyBorder="1" applyAlignment="1" applyProtection="1">
      <alignment horizontal="right" vertical="center"/>
      <protection locked="0"/>
    </xf>
    <xf numFmtId="0" fontId="1" fillId="0" borderId="10" xfId="0" applyFont="1" applyBorder="1" applyAlignment="1" applyProtection="1">
      <alignment vertical="center"/>
      <protection locked="0"/>
    </xf>
    <xf numFmtId="169" fontId="6" fillId="0" borderId="9" xfId="0" applyNumberFormat="1" applyFont="1" applyBorder="1" applyAlignment="1">
      <alignment horizontal="center" vertical="center"/>
    </xf>
    <xf numFmtId="169" fontId="2" fillId="0" borderId="9" xfId="0" applyNumberFormat="1" applyFont="1" applyBorder="1" applyAlignment="1">
      <alignment horizontal="right" vertical="center"/>
    </xf>
    <xf numFmtId="169" fontId="2" fillId="0" borderId="12" xfId="0" applyNumberFormat="1" applyFont="1" applyBorder="1" applyAlignment="1" applyProtection="1">
      <alignment horizontal="center" vertical="center"/>
      <protection locked="0"/>
    </xf>
    <xf numFmtId="0" fontId="12" fillId="0" borderId="30" xfId="0" applyFont="1" applyBorder="1" applyAlignment="1" applyProtection="1">
      <alignment vertical="center"/>
      <protection locked="0"/>
    </xf>
    <xf numFmtId="0" fontId="5" fillId="0" borderId="2" xfId="0" applyFont="1" applyBorder="1" applyAlignment="1" applyProtection="1">
      <alignment horizontal="right" vertical="center"/>
      <protection locked="0"/>
    </xf>
    <xf numFmtId="0" fontId="8" fillId="0" borderId="2" xfId="0" applyFont="1" applyBorder="1" applyAlignment="1" applyProtection="1">
      <alignment horizontal="right" vertical="center"/>
      <protection locked="0"/>
    </xf>
    <xf numFmtId="0" fontId="0" fillId="0" borderId="2" xfId="0" applyBorder="1" applyAlignment="1" applyProtection="1">
      <alignment vertical="center"/>
      <protection locked="0"/>
    </xf>
    <xf numFmtId="169" fontId="7" fillId="0" borderId="30" xfId="0" applyNumberFormat="1" applyFont="1" applyBorder="1" applyAlignment="1" applyProtection="1">
      <alignment horizontal="right" vertical="center"/>
      <protection locked="0"/>
    </xf>
    <xf numFmtId="0" fontId="2" fillId="0" borderId="2" xfId="0" applyFont="1" applyBorder="1" applyAlignment="1" applyProtection="1">
      <alignment horizontal="right" vertical="center"/>
      <protection locked="0"/>
    </xf>
    <xf numFmtId="0" fontId="6" fillId="0" borderId="2" xfId="0" applyFont="1" applyBorder="1" applyAlignment="1" applyProtection="1">
      <alignment horizontal="right" vertical="center"/>
      <protection locked="0"/>
    </xf>
    <xf numFmtId="0" fontId="1" fillId="0" borderId="2" xfId="0" applyFont="1" applyBorder="1" applyAlignment="1" applyProtection="1">
      <alignment vertical="center"/>
      <protection locked="0"/>
    </xf>
    <xf numFmtId="191" fontId="27" fillId="3" borderId="62" xfId="0" applyNumberFormat="1" applyFont="1" applyFill="1" applyBorder="1" applyAlignment="1">
      <alignment horizontal="right" vertical="center"/>
    </xf>
    <xf numFmtId="191" fontId="27" fillId="3" borderId="63" xfId="0" applyNumberFormat="1" applyFont="1" applyFill="1" applyBorder="1" applyAlignment="1">
      <alignment horizontal="right" vertical="center"/>
    </xf>
    <xf numFmtId="0" fontId="16" fillId="0" borderId="61" xfId="0" applyFont="1" applyBorder="1" applyAlignment="1">
      <alignment horizontal="center" vertical="center" wrapText="1"/>
    </xf>
    <xf numFmtId="0" fontId="16" fillId="0" borderId="62" xfId="0" applyFont="1" applyBorder="1" applyAlignment="1">
      <alignment horizontal="center" vertical="center"/>
    </xf>
    <xf numFmtId="0" fontId="16" fillId="0" borderId="63" xfId="0" applyFont="1" applyBorder="1" applyAlignment="1">
      <alignment horizontal="center" vertical="center"/>
    </xf>
    <xf numFmtId="0" fontId="16" fillId="0" borderId="29" xfId="0" applyFont="1" applyBorder="1" applyAlignment="1">
      <alignment horizontal="center" vertical="center"/>
    </xf>
    <xf numFmtId="0" fontId="16" fillId="0" borderId="16" xfId="0" applyFont="1" applyBorder="1" applyAlignment="1">
      <alignment horizontal="center" vertical="center"/>
    </xf>
    <xf numFmtId="0" fontId="16" fillId="0" borderId="18" xfId="0" applyFont="1" applyBorder="1" applyAlignment="1">
      <alignment horizontal="center" vertical="center"/>
    </xf>
    <xf numFmtId="0" fontId="6" fillId="0" borderId="61" xfId="0" applyFont="1" applyBorder="1" applyAlignment="1">
      <alignment horizontal="center" vertical="center" textRotation="90"/>
    </xf>
    <xf numFmtId="0" fontId="6" fillId="0" borderId="26" xfId="0" applyFont="1" applyBorder="1" applyAlignment="1">
      <alignment horizontal="center" vertical="center" textRotation="90"/>
    </xf>
    <xf numFmtId="0" fontId="6" fillId="0" borderId="29" xfId="0" applyFont="1" applyBorder="1" applyAlignment="1">
      <alignment horizontal="center" vertical="center" textRotation="90"/>
    </xf>
    <xf numFmtId="0" fontId="6" fillId="0" borderId="55" xfId="0" applyFont="1" applyBorder="1" applyAlignment="1">
      <alignment horizontal="center" vertical="center" textRotation="90"/>
    </xf>
    <xf numFmtId="0" fontId="6" fillId="0" borderId="50" xfId="0" applyFont="1" applyBorder="1" applyAlignment="1">
      <alignment horizontal="center" vertical="center" textRotation="90"/>
    </xf>
    <xf numFmtId="0" fontId="6" fillId="0" borderId="56" xfId="0" applyFont="1" applyBorder="1" applyAlignment="1">
      <alignment horizontal="center" vertical="center" textRotation="90"/>
    </xf>
    <xf numFmtId="0" fontId="6" fillId="0" borderId="32" xfId="0" applyFont="1" applyBorder="1" applyAlignment="1">
      <alignment horizontal="center" vertical="center" textRotation="90"/>
    </xf>
    <xf numFmtId="0" fontId="6" fillId="0" borderId="45" xfId="0" applyFont="1" applyBorder="1" applyAlignment="1">
      <alignment horizontal="center" vertical="center" textRotation="90"/>
    </xf>
    <xf numFmtId="0" fontId="6" fillId="0" borderId="46" xfId="0" applyFont="1" applyBorder="1" applyAlignment="1">
      <alignment horizontal="center" vertical="center" textRotation="90"/>
    </xf>
    <xf numFmtId="0" fontId="6" fillId="0" borderId="44" xfId="0" applyFont="1" applyBorder="1" applyAlignment="1">
      <alignment horizontal="center" vertical="center"/>
    </xf>
    <xf numFmtId="0" fontId="6" fillId="0" borderId="25" xfId="0" applyFont="1" applyBorder="1" applyAlignment="1">
      <alignment horizontal="center" vertical="center"/>
    </xf>
    <xf numFmtId="0" fontId="18" fillId="0" borderId="61" xfId="0" applyFont="1" applyBorder="1" applyAlignment="1">
      <alignment horizontal="center" vertical="center"/>
    </xf>
    <xf numFmtId="0" fontId="18" fillId="0" borderId="63" xfId="0" applyFont="1" applyBorder="1" applyAlignment="1">
      <alignment horizontal="center" vertical="center"/>
    </xf>
    <xf numFmtId="0" fontId="16" fillId="0" borderId="44" xfId="0" applyFont="1" applyBorder="1" applyAlignment="1">
      <alignment horizontal="center" vertical="center" wrapText="1"/>
    </xf>
    <xf numFmtId="0" fontId="16" fillId="0" borderId="25" xfId="0" applyFont="1" applyBorder="1" applyAlignment="1">
      <alignment horizontal="center" vertical="center" wrapText="1"/>
    </xf>
    <xf numFmtId="0" fontId="12" fillId="0" borderId="32" xfId="0" applyFont="1" applyBorder="1" applyAlignment="1">
      <alignment horizontal="center" vertical="center" textRotation="90"/>
    </xf>
    <xf numFmtId="0" fontId="12" fillId="0" borderId="46" xfId="0" applyFont="1" applyBorder="1" applyAlignment="1">
      <alignment horizontal="center" vertical="center" textRotation="90"/>
    </xf>
    <xf numFmtId="0" fontId="6" fillId="0" borderId="44" xfId="0" applyFont="1" applyBorder="1" applyAlignment="1">
      <alignment horizontal="center" vertical="center" wrapText="1"/>
    </xf>
    <xf numFmtId="0" fontId="6" fillId="0" borderId="25" xfId="0" applyFont="1" applyBorder="1" applyAlignment="1">
      <alignment horizontal="center" vertical="center" wrapText="1"/>
    </xf>
    <xf numFmtId="0" fontId="12" fillId="0" borderId="55" xfId="0" applyFont="1" applyBorder="1" applyAlignment="1">
      <alignment horizontal="center" vertical="center" textRotation="90"/>
    </xf>
    <xf numFmtId="0" fontId="12" fillId="0" borderId="56" xfId="0" applyFont="1" applyBorder="1" applyAlignment="1">
      <alignment horizontal="center" vertical="center" textRotation="90"/>
    </xf>
    <xf numFmtId="0" fontId="12" fillId="0" borderId="58" xfId="0" applyFont="1" applyBorder="1" applyAlignment="1">
      <alignment horizontal="center" vertical="center" textRotation="90"/>
    </xf>
    <xf numFmtId="0" fontId="12" fillId="0" borderId="57" xfId="0" applyFont="1" applyBorder="1" applyAlignment="1">
      <alignment horizontal="center" vertical="center" textRotation="90"/>
    </xf>
    <xf numFmtId="0" fontId="11" fillId="0" borderId="61" xfId="0" applyFont="1" applyBorder="1" applyAlignment="1">
      <alignment horizontal="center" vertical="center"/>
    </xf>
    <xf numFmtId="0" fontId="11" fillId="0" borderId="62" xfId="0" applyFont="1" applyBorder="1" applyAlignment="1">
      <alignment horizontal="center" vertical="center"/>
    </xf>
    <xf numFmtId="0" fontId="11" fillId="0" borderId="63" xfId="0" applyFont="1" applyBorder="1" applyAlignment="1">
      <alignment horizontal="center" vertical="center"/>
    </xf>
    <xf numFmtId="169" fontId="5" fillId="0" borderId="2" xfId="0" applyNumberFormat="1" applyFont="1" applyBorder="1" applyAlignment="1">
      <alignment horizontal="right" vertical="center"/>
    </xf>
    <xf numFmtId="0" fontId="15" fillId="0" borderId="4" xfId="0" applyFont="1" applyBorder="1" applyAlignment="1">
      <alignment horizontal="center" vertical="center"/>
    </xf>
    <xf numFmtId="0" fontId="21" fillId="0" borderId="40" xfId="0" applyFont="1" applyBorder="1" applyAlignment="1">
      <alignment horizontal="center" vertical="center" wrapText="1"/>
    </xf>
    <xf numFmtId="0" fontId="21" fillId="0" borderId="74" xfId="0" applyFont="1" applyBorder="1" applyAlignment="1">
      <alignment horizontal="center" vertical="center"/>
    </xf>
    <xf numFmtId="169" fontId="5" fillId="0" borderId="13" xfId="0" applyNumberFormat="1" applyFont="1" applyBorder="1" applyAlignment="1">
      <alignment horizontal="right" vertical="center"/>
    </xf>
    <xf numFmtId="169" fontId="5" fillId="0" borderId="5" xfId="0" applyNumberFormat="1" applyFont="1" applyBorder="1" applyAlignment="1">
      <alignment horizontal="right" vertical="center"/>
    </xf>
    <xf numFmtId="169" fontId="5" fillId="0" borderId="11" xfId="0" applyNumberFormat="1" applyFont="1" applyBorder="1" applyAlignment="1">
      <alignment horizontal="right" vertical="center"/>
    </xf>
    <xf numFmtId="169" fontId="34" fillId="0" borderId="12" xfId="0" applyNumberFormat="1" applyFont="1" applyBorder="1" applyAlignment="1" applyProtection="1">
      <alignment horizontal="right" vertical="center"/>
      <protection locked="0"/>
    </xf>
    <xf numFmtId="169" fontId="34" fillId="0" borderId="8" xfId="0" applyNumberFormat="1" applyFont="1" applyBorder="1" applyAlignment="1" applyProtection="1">
      <alignment horizontal="right" vertical="center"/>
      <protection locked="0"/>
    </xf>
    <xf numFmtId="4" fontId="5" fillId="0" borderId="13" xfId="0" applyNumberFormat="1" applyFont="1" applyBorder="1" applyAlignment="1" applyProtection="1">
      <alignment horizontal="center" vertical="center"/>
      <protection locked="0"/>
    </xf>
    <xf numFmtId="4" fontId="5" fillId="0" borderId="5" xfId="0" applyNumberFormat="1" applyFont="1" applyBorder="1" applyAlignment="1" applyProtection="1">
      <alignment horizontal="center" vertical="center"/>
      <protection locked="0"/>
    </xf>
    <xf numFmtId="0" fontId="0" fillId="0" borderId="10" xfId="0" applyBorder="1" applyAlignment="1" applyProtection="1">
      <alignment vertical="center"/>
      <protection locked="0"/>
    </xf>
    <xf numFmtId="0" fontId="0" fillId="0" borderId="2" xfId="0" applyBorder="1" applyAlignment="1" applyProtection="1">
      <alignment vertical="center"/>
      <protection locked="0"/>
    </xf>
    <xf numFmtId="169" fontId="5" fillId="0" borderId="12" xfId="0" applyNumberFormat="1" applyFont="1" applyBorder="1" applyAlignment="1">
      <alignment horizontal="right" vertical="center"/>
    </xf>
    <xf numFmtId="169" fontId="5" fillId="0" borderId="8" xfId="0" applyNumberFormat="1" applyFont="1" applyBorder="1" applyAlignment="1">
      <alignment horizontal="right" vertical="center"/>
    </xf>
    <xf numFmtId="169" fontId="5" fillId="0" borderId="48" xfId="0" applyNumberFormat="1" applyFont="1" applyBorder="1" applyAlignment="1">
      <alignment horizontal="right" vertical="center"/>
    </xf>
    <xf numFmtId="169" fontId="5" fillId="0" borderId="3" xfId="0" applyNumberFormat="1" applyFont="1" applyBorder="1" applyAlignment="1">
      <alignment horizontal="right" vertical="center"/>
    </xf>
    <xf numFmtId="169" fontId="5" fillId="5" borderId="13" xfId="0" applyNumberFormat="1" applyFont="1" applyFill="1" applyBorder="1" applyAlignment="1" applyProtection="1">
      <alignment horizontal="right" vertical="center"/>
      <protection locked="0"/>
    </xf>
    <xf numFmtId="169" fontId="5" fillId="5" borderId="5" xfId="0" applyNumberFormat="1" applyFont="1" applyFill="1" applyBorder="1" applyAlignment="1" applyProtection="1">
      <alignment horizontal="right" vertical="center"/>
      <protection locked="0"/>
    </xf>
    <xf numFmtId="0" fontId="5" fillId="5" borderId="30" xfId="0" applyFont="1" applyFill="1" applyBorder="1" applyAlignment="1" applyProtection="1">
      <alignment horizontal="left" vertical="center" indent="1"/>
      <protection locked="0"/>
    </xf>
    <xf numFmtId="0" fontId="5" fillId="5" borderId="2" xfId="0" applyFont="1" applyFill="1" applyBorder="1" applyAlignment="1" applyProtection="1">
      <alignment horizontal="left" vertical="center" indent="1"/>
      <protection locked="0"/>
    </xf>
    <xf numFmtId="0" fontId="6" fillId="0" borderId="24" xfId="0" applyFont="1" applyBorder="1" applyAlignment="1">
      <alignment horizontal="center" vertical="center"/>
    </xf>
    <xf numFmtId="0" fontId="18" fillId="0" borderId="26" xfId="0" applyFont="1" applyBorder="1" applyAlignment="1">
      <alignment horizontal="center" vertical="center"/>
    </xf>
    <xf numFmtId="0" fontId="18" fillId="0" borderId="1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 vertical="center" wrapText="1"/>
    </xf>
    <xf numFmtId="0" fontId="16" fillId="0" borderId="24" xfId="0" applyFont="1" applyBorder="1" applyAlignment="1">
      <alignment horizontal="center" vertical="center" wrapText="1"/>
    </xf>
    <xf numFmtId="0" fontId="5" fillId="5" borderId="34" xfId="0" applyFont="1" applyFill="1" applyBorder="1" applyAlignment="1" applyProtection="1">
      <alignment horizontal="left" vertical="center" indent="1"/>
      <protection locked="0"/>
    </xf>
    <xf numFmtId="0" fontId="5" fillId="5" borderId="4" xfId="0" applyFont="1" applyFill="1" applyBorder="1" applyAlignment="1" applyProtection="1">
      <alignment horizontal="left" vertical="center" indent="1"/>
      <protection locked="0"/>
    </xf>
    <xf numFmtId="0" fontId="21" fillId="0" borderId="31" xfId="0" applyFont="1" applyBorder="1" applyAlignment="1">
      <alignment horizontal="center" vertical="center" wrapText="1"/>
    </xf>
    <xf numFmtId="0" fontId="21" fillId="0" borderId="75" xfId="0" applyFont="1" applyBorder="1" applyAlignment="1">
      <alignment horizontal="center" vertical="center"/>
    </xf>
    <xf numFmtId="2" fontId="7" fillId="0" borderId="46" xfId="0" applyNumberFormat="1" applyFont="1" applyBorder="1" applyAlignment="1">
      <alignment horizontal="center" vertical="center"/>
    </xf>
    <xf numFmtId="0" fontId="2" fillId="0" borderId="26" xfId="0" applyFont="1" applyBorder="1" applyAlignment="1">
      <alignment horizontal="center" wrapText="1"/>
    </xf>
    <xf numFmtId="0" fontId="2" fillId="0" borderId="0" xfId="0" applyFont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29" xfId="0" applyFont="1" applyBorder="1" applyAlignment="1">
      <alignment horizontal="center" wrapText="1"/>
    </xf>
    <xf numFmtId="0" fontId="2" fillId="0" borderId="16" xfId="0" applyFont="1" applyBorder="1" applyAlignment="1">
      <alignment horizontal="center" wrapText="1"/>
    </xf>
    <xf numFmtId="0" fontId="2" fillId="0" borderId="18" xfId="0" applyFont="1" applyBorder="1" applyAlignment="1">
      <alignment horizontal="center" wrapText="1"/>
    </xf>
    <xf numFmtId="0" fontId="29" fillId="0" borderId="32" xfId="0" applyFont="1" applyBorder="1" applyAlignment="1">
      <alignment horizontal="center" vertical="center" wrapText="1"/>
    </xf>
    <xf numFmtId="0" fontId="29" fillId="0" borderId="32" xfId="0" applyFont="1" applyBorder="1" applyAlignment="1">
      <alignment horizontal="center" vertical="center"/>
    </xf>
    <xf numFmtId="0" fontId="9" fillId="0" borderId="61" xfId="0" applyFont="1" applyBorder="1" applyAlignment="1">
      <alignment horizontal="center" vertical="center" wrapText="1"/>
    </xf>
    <xf numFmtId="0" fontId="9" fillId="0" borderId="62" xfId="0" applyFont="1" applyBorder="1" applyAlignment="1">
      <alignment horizontal="center" vertical="center" wrapText="1"/>
    </xf>
    <xf numFmtId="0" fontId="9" fillId="0" borderId="63" xfId="0" applyFont="1" applyBorder="1" applyAlignment="1">
      <alignment horizontal="center" vertical="center" wrapText="1"/>
    </xf>
    <xf numFmtId="0" fontId="9" fillId="0" borderId="26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31" fillId="0" borderId="26" xfId="0" applyFont="1" applyBorder="1" applyAlignment="1">
      <alignment horizontal="center" vertical="center" wrapText="1"/>
    </xf>
    <xf numFmtId="0" fontId="31" fillId="0" borderId="0" xfId="0" applyFont="1" applyAlignment="1">
      <alignment horizontal="center" vertical="center" wrapText="1"/>
    </xf>
    <xf numFmtId="0" fontId="31" fillId="0" borderId="1" xfId="0" applyFont="1" applyBorder="1" applyAlignment="1">
      <alignment horizontal="center" vertical="center" wrapText="1"/>
    </xf>
    <xf numFmtId="0" fontId="19" fillId="0" borderId="59" xfId="0" applyFont="1" applyBorder="1" applyAlignment="1">
      <alignment vertical="center" wrapText="1"/>
    </xf>
    <xf numFmtId="0" fontId="19" fillId="0" borderId="0" xfId="0" applyFont="1" applyAlignment="1">
      <alignment vertical="center" wrapText="1"/>
    </xf>
    <xf numFmtId="0" fontId="6" fillId="0" borderId="58" xfId="0" applyFont="1" applyBorder="1" applyAlignment="1">
      <alignment horizontal="center" vertical="center" textRotation="90"/>
    </xf>
    <xf numFmtId="0" fontId="6" fillId="0" borderId="51" xfId="0" applyFont="1" applyBorder="1" applyAlignment="1">
      <alignment horizontal="center" vertical="center" textRotation="90"/>
    </xf>
    <xf numFmtId="0" fontId="6" fillId="0" borderId="57" xfId="0" applyFont="1" applyBorder="1" applyAlignment="1">
      <alignment horizontal="center" vertical="center" textRotation="90"/>
    </xf>
    <xf numFmtId="4" fontId="5" fillId="0" borderId="45" xfId="0" applyNumberFormat="1" applyFont="1" applyBorder="1" applyAlignment="1">
      <alignment horizontal="center" vertical="center"/>
    </xf>
    <xf numFmtId="0" fontId="29" fillId="0" borderId="22" xfId="0" applyFont="1" applyBorder="1" applyAlignment="1">
      <alignment horizontal="center" vertical="center" wrapText="1"/>
    </xf>
    <xf numFmtId="0" fontId="29" fillId="0" borderId="22" xfId="0" applyFont="1" applyBorder="1" applyAlignment="1">
      <alignment horizontal="center" vertical="center"/>
    </xf>
    <xf numFmtId="3" fontId="5" fillId="0" borderId="39" xfId="0" applyNumberFormat="1" applyFont="1" applyBorder="1" applyAlignment="1">
      <alignment horizontal="center" vertical="center"/>
    </xf>
    <xf numFmtId="0" fontId="29" fillId="0" borderId="14" xfId="0" applyFont="1" applyBorder="1" applyAlignment="1">
      <alignment horizontal="center" vertical="center" wrapText="1"/>
    </xf>
    <xf numFmtId="0" fontId="29" fillId="0" borderId="66" xfId="0" applyFont="1" applyBorder="1" applyAlignment="1">
      <alignment horizontal="center" vertical="center" wrapText="1"/>
    </xf>
    <xf numFmtId="2" fontId="6" fillId="0" borderId="16" xfId="0" applyNumberFormat="1" applyFont="1" applyBorder="1" applyAlignment="1">
      <alignment vertical="center"/>
    </xf>
    <xf numFmtId="2" fontId="6" fillId="0" borderId="18" xfId="0" applyNumberFormat="1" applyFont="1" applyBorder="1" applyAlignment="1">
      <alignment vertical="center"/>
    </xf>
    <xf numFmtId="0" fontId="16" fillId="0" borderId="61" xfId="0" applyFont="1" applyBorder="1" applyAlignment="1">
      <alignment horizontal="center" vertical="center"/>
    </xf>
    <xf numFmtId="0" fontId="16" fillId="0" borderId="26" xfId="0" applyFont="1" applyBorder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2" fontId="6" fillId="0" borderId="0" xfId="0" applyNumberFormat="1" applyFont="1" applyAlignment="1">
      <alignment vertical="center"/>
    </xf>
    <xf numFmtId="2" fontId="6" fillId="0" borderId="1" xfId="0" applyNumberFormat="1" applyFont="1" applyBorder="1" applyAlignment="1">
      <alignment vertical="center"/>
    </xf>
    <xf numFmtId="0" fontId="15" fillId="0" borderId="13" xfId="0" applyFont="1" applyBorder="1" applyAlignment="1">
      <alignment horizontal="center" vertical="center"/>
    </xf>
    <xf numFmtId="0" fontId="15" fillId="0" borderId="5" xfId="0" applyFont="1" applyBorder="1" applyAlignment="1">
      <alignment horizontal="center" vertical="center"/>
    </xf>
    <xf numFmtId="4" fontId="5" fillId="0" borderId="13" xfId="0" applyNumberFormat="1" applyFont="1" applyBorder="1" applyAlignment="1">
      <alignment horizontal="center" vertical="center"/>
    </xf>
    <xf numFmtId="4" fontId="5" fillId="0" borderId="5" xfId="0" applyNumberFormat="1" applyFont="1" applyBorder="1" applyAlignment="1">
      <alignment horizontal="center" vertical="center"/>
    </xf>
    <xf numFmtId="169" fontId="5" fillId="0" borderId="14" xfId="0" applyNumberFormat="1" applyFont="1" applyBorder="1" applyAlignment="1">
      <alignment horizontal="right" vertical="center"/>
    </xf>
    <xf numFmtId="169" fontId="5" fillId="0" borderId="66" xfId="0" applyNumberFormat="1" applyFont="1" applyBorder="1" applyAlignment="1">
      <alignment horizontal="right" vertical="center"/>
    </xf>
    <xf numFmtId="0" fontId="15" fillId="0" borderId="48" xfId="0" applyFont="1" applyBorder="1" applyAlignment="1">
      <alignment horizontal="center" vertical="center"/>
    </xf>
    <xf numFmtId="0" fontId="15" fillId="0" borderId="3" xfId="0" applyFont="1" applyBorder="1" applyAlignment="1">
      <alignment horizontal="center" vertical="center"/>
    </xf>
    <xf numFmtId="169" fontId="5" fillId="0" borderId="13" xfId="0" applyNumberFormat="1" applyFont="1" applyBorder="1" applyAlignment="1" applyProtection="1">
      <alignment horizontal="right" vertical="center"/>
      <protection locked="0"/>
    </xf>
    <xf numFmtId="169" fontId="5" fillId="0" borderId="5" xfId="0" applyNumberFormat="1" applyFont="1" applyBorder="1" applyAlignment="1" applyProtection="1">
      <alignment horizontal="right" vertical="center"/>
      <protection locked="0"/>
    </xf>
    <xf numFmtId="17" fontId="27" fillId="3" borderId="62" xfId="0" applyNumberFormat="1" applyFont="1" applyFill="1" applyBorder="1" applyAlignment="1">
      <alignment horizontal="right" vertical="center"/>
    </xf>
    <xf numFmtId="17" fontId="27" fillId="3" borderId="63" xfId="0" applyNumberFormat="1" applyFont="1" applyFill="1" applyBorder="1" applyAlignment="1">
      <alignment horizontal="right" vertical="center"/>
    </xf>
    <xf numFmtId="3" fontId="7" fillId="0" borderId="46" xfId="0" applyNumberFormat="1" applyFont="1" applyBorder="1" applyAlignment="1">
      <alignment horizontal="center" vertical="center"/>
    </xf>
    <xf numFmtId="3" fontId="5" fillId="0" borderId="39" xfId="0" applyNumberFormat="1" applyFont="1" applyBorder="1" applyAlignment="1" applyProtection="1">
      <alignment horizontal="center" vertical="center"/>
      <protection locked="0"/>
    </xf>
    <xf numFmtId="0" fontId="21" fillId="0" borderId="45" xfId="0" applyFont="1" applyBorder="1" applyAlignment="1" applyProtection="1">
      <alignment horizontal="center" vertical="center" wrapText="1"/>
      <protection locked="0"/>
    </xf>
    <xf numFmtId="0" fontId="21" fillId="0" borderId="45" xfId="0" applyFont="1" applyBorder="1" applyAlignment="1" applyProtection="1">
      <alignment horizontal="center" vertical="center"/>
      <protection locked="0"/>
    </xf>
    <xf numFmtId="169" fontId="5" fillId="0" borderId="14" xfId="0" applyNumberFormat="1" applyFont="1" applyBorder="1" applyAlignment="1" applyProtection="1">
      <alignment horizontal="right" vertical="center"/>
      <protection locked="0"/>
    </xf>
    <xf numFmtId="169" fontId="5" fillId="0" borderId="66" xfId="0" applyNumberFormat="1" applyFont="1" applyBorder="1" applyAlignment="1" applyProtection="1">
      <alignment horizontal="right" vertical="center"/>
      <protection locked="0"/>
    </xf>
    <xf numFmtId="169" fontId="6" fillId="0" borderId="48" xfId="0" applyNumberFormat="1" applyFont="1" applyBorder="1" applyAlignment="1">
      <alignment horizontal="center" vertical="center"/>
    </xf>
    <xf numFmtId="169" fontId="6" fillId="0" borderId="3" xfId="0" applyNumberFormat="1" applyFont="1" applyBorder="1" applyAlignment="1">
      <alignment horizontal="center" vertical="center"/>
    </xf>
    <xf numFmtId="169" fontId="6" fillId="0" borderId="12" xfId="0" applyNumberFormat="1" applyFont="1" applyBorder="1" applyAlignment="1">
      <alignment horizontal="center" vertical="center"/>
    </xf>
    <xf numFmtId="169" fontId="6" fillId="0" borderId="8" xfId="0" applyNumberFormat="1" applyFont="1" applyBorder="1" applyAlignment="1">
      <alignment horizontal="center" vertical="center"/>
    </xf>
    <xf numFmtId="169" fontId="6" fillId="0" borderId="13" xfId="0" applyNumberFormat="1" applyFont="1" applyBorder="1" applyAlignment="1" applyProtection="1">
      <alignment horizontal="center" vertical="center"/>
      <protection locked="0"/>
    </xf>
    <xf numFmtId="169" fontId="6" fillId="0" borderId="5" xfId="0" applyNumberFormat="1" applyFont="1" applyBorder="1" applyAlignment="1" applyProtection="1">
      <alignment horizontal="center" vertical="center"/>
      <protection locked="0"/>
    </xf>
    <xf numFmtId="169" fontId="6" fillId="0" borderId="12" xfId="0" applyNumberFormat="1" applyFont="1" applyBorder="1" applyAlignment="1" applyProtection="1">
      <alignment horizontal="right" vertical="center"/>
      <protection locked="0"/>
    </xf>
    <xf numFmtId="169" fontId="6" fillId="0" borderId="8" xfId="0" applyNumberFormat="1" applyFont="1" applyBorder="1" applyAlignment="1" applyProtection="1">
      <alignment horizontal="right" vertical="center"/>
      <protection locked="0"/>
    </xf>
    <xf numFmtId="169" fontId="2" fillId="0" borderId="13" xfId="0" applyNumberFormat="1" applyFont="1" applyBorder="1" applyAlignment="1">
      <alignment horizontal="right" vertical="center"/>
    </xf>
    <xf numFmtId="169" fontId="2" fillId="0" borderId="5" xfId="0" applyNumberFormat="1" applyFont="1" applyBorder="1" applyAlignment="1">
      <alignment horizontal="right" vertical="center"/>
    </xf>
    <xf numFmtId="4" fontId="2" fillId="0" borderId="45" xfId="0" applyNumberFormat="1" applyFont="1" applyBorder="1" applyAlignment="1">
      <alignment horizontal="center" vertical="center"/>
    </xf>
    <xf numFmtId="3" fontId="2" fillId="0" borderId="39" xfId="0" applyNumberFormat="1" applyFont="1" applyBorder="1" applyAlignment="1">
      <alignment horizontal="center" vertical="center"/>
    </xf>
    <xf numFmtId="0" fontId="7" fillId="0" borderId="61" xfId="0" applyFont="1" applyBorder="1" applyAlignment="1">
      <alignment horizontal="center" vertical="center" wrapText="1"/>
    </xf>
    <xf numFmtId="0" fontId="7" fillId="0" borderId="62" xfId="0" applyFont="1" applyBorder="1" applyAlignment="1">
      <alignment horizontal="center" vertical="center" wrapText="1"/>
    </xf>
    <xf numFmtId="0" fontId="7" fillId="0" borderId="63" xfId="0" applyFont="1" applyBorder="1" applyAlignment="1">
      <alignment horizontal="center" vertical="center" wrapText="1"/>
    </xf>
    <xf numFmtId="0" fontId="7" fillId="0" borderId="26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11" fillId="0" borderId="26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2" fillId="5" borderId="30" xfId="0" applyFont="1" applyFill="1" applyBorder="1" applyAlignment="1" applyProtection="1">
      <alignment horizontal="left" vertical="center" indent="1"/>
      <protection locked="0"/>
    </xf>
    <xf numFmtId="0" fontId="2" fillId="5" borderId="2" xfId="0" applyFont="1" applyFill="1" applyBorder="1" applyAlignment="1" applyProtection="1">
      <alignment horizontal="left" vertical="center" indent="1"/>
      <protection locked="0"/>
    </xf>
    <xf numFmtId="4" fontId="2" fillId="0" borderId="13" xfId="0" applyNumberFormat="1" applyFont="1" applyBorder="1" applyAlignment="1">
      <alignment horizontal="center" vertical="center"/>
    </xf>
    <xf numFmtId="4" fontId="2" fillId="0" borderId="5" xfId="0" applyNumberFormat="1" applyFont="1" applyBorder="1" applyAlignment="1">
      <alignment horizontal="center" vertical="center"/>
    </xf>
    <xf numFmtId="169" fontId="2" fillId="0" borderId="48" xfId="0" applyNumberFormat="1" applyFont="1" applyBorder="1" applyAlignment="1">
      <alignment horizontal="right" vertical="center"/>
    </xf>
    <xf numFmtId="169" fontId="2" fillId="0" borderId="3" xfId="0" applyNumberFormat="1" applyFont="1" applyBorder="1" applyAlignment="1">
      <alignment horizontal="right" vertical="center"/>
    </xf>
    <xf numFmtId="0" fontId="1" fillId="0" borderId="2" xfId="0" applyFont="1" applyBorder="1" applyAlignment="1" applyProtection="1">
      <alignment vertical="center"/>
      <protection locked="0"/>
    </xf>
    <xf numFmtId="169" fontId="2" fillId="0" borderId="12" xfId="0" applyNumberFormat="1" applyFont="1" applyBorder="1" applyAlignment="1">
      <alignment horizontal="right" vertical="center"/>
    </xf>
    <xf numFmtId="169" fontId="2" fillId="0" borderId="8" xfId="0" applyNumberFormat="1" applyFont="1" applyBorder="1" applyAlignment="1">
      <alignment horizontal="right" vertical="center"/>
    </xf>
    <xf numFmtId="0" fontId="1" fillId="0" borderId="10" xfId="0" applyFont="1" applyBorder="1" applyAlignment="1" applyProtection="1">
      <alignment vertical="center"/>
      <protection locked="0"/>
    </xf>
    <xf numFmtId="169" fontId="2" fillId="5" borderId="13" xfId="0" applyNumberFormat="1" applyFont="1" applyFill="1" applyBorder="1" applyAlignment="1" applyProtection="1">
      <alignment horizontal="right" vertical="center"/>
      <protection locked="0"/>
    </xf>
    <xf numFmtId="169" fontId="2" fillId="5" borderId="5" xfId="0" applyNumberFormat="1" applyFont="1" applyFill="1" applyBorder="1" applyAlignment="1" applyProtection="1">
      <alignment horizontal="right" vertical="center"/>
      <protection locked="0"/>
    </xf>
    <xf numFmtId="0" fontId="2" fillId="5" borderId="30" xfId="5" applyFont="1" applyFill="1" applyBorder="1" applyAlignment="1" applyProtection="1">
      <alignment horizontal="left" vertical="center" indent="1"/>
      <protection locked="0"/>
    </xf>
    <xf numFmtId="0" fontId="2" fillId="5" borderId="2" xfId="5" applyFont="1" applyFill="1" applyBorder="1" applyAlignment="1" applyProtection="1">
      <alignment horizontal="left" vertical="center" indent="1"/>
      <protection locked="0"/>
    </xf>
    <xf numFmtId="169" fontId="2" fillId="0" borderId="14" xfId="0" applyNumberFormat="1" applyFont="1" applyBorder="1" applyAlignment="1">
      <alignment horizontal="right" vertical="center"/>
    </xf>
    <xf numFmtId="169" fontId="2" fillId="0" borderId="66" xfId="0" applyNumberFormat="1" applyFont="1" applyBorder="1" applyAlignment="1">
      <alignment horizontal="right" vertical="center"/>
    </xf>
    <xf numFmtId="169" fontId="2" fillId="0" borderId="13" xfId="0" applyNumberFormat="1" applyFont="1" applyBorder="1" applyAlignment="1" applyProtection="1">
      <alignment horizontal="right" vertical="center"/>
      <protection locked="0"/>
    </xf>
    <xf numFmtId="169" fontId="2" fillId="0" borderId="5" xfId="0" applyNumberFormat="1" applyFont="1" applyBorder="1" applyAlignment="1" applyProtection="1">
      <alignment horizontal="right" vertical="center"/>
      <protection locked="0"/>
    </xf>
    <xf numFmtId="0" fontId="2" fillId="5" borderId="34" xfId="5" applyFont="1" applyFill="1" applyBorder="1" applyAlignment="1" applyProtection="1">
      <alignment horizontal="left" vertical="center" indent="1"/>
      <protection locked="0"/>
    </xf>
    <xf numFmtId="0" fontId="2" fillId="5" borderId="4" xfId="5" applyFont="1" applyFill="1" applyBorder="1" applyAlignment="1" applyProtection="1">
      <alignment horizontal="left" vertical="center" indent="1"/>
      <protection locked="0"/>
    </xf>
    <xf numFmtId="0" fontId="2" fillId="5" borderId="34" xfId="0" applyFont="1" applyFill="1" applyBorder="1" applyAlignment="1" applyProtection="1">
      <alignment horizontal="left" vertical="center" indent="1"/>
      <protection locked="0"/>
    </xf>
    <xf numFmtId="0" fontId="2" fillId="5" borderId="4" xfId="0" applyFont="1" applyFill="1" applyBorder="1" applyAlignment="1" applyProtection="1">
      <alignment horizontal="left" vertical="center" indent="1"/>
      <protection locked="0"/>
    </xf>
    <xf numFmtId="0" fontId="2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166" fontId="7" fillId="0" borderId="16" xfId="0" applyNumberFormat="1" applyFont="1" applyBorder="1" applyAlignment="1">
      <alignment horizontal="center"/>
    </xf>
    <xf numFmtId="166" fontId="7" fillId="0" borderId="62" xfId="0" applyNumberFormat="1" applyFont="1" applyBorder="1" applyAlignment="1">
      <alignment horizontal="center" vertical="top"/>
    </xf>
    <xf numFmtId="0" fontId="15" fillId="0" borderId="61" xfId="0" applyFont="1" applyBorder="1" applyAlignment="1">
      <alignment horizontal="center" vertical="center" wrapText="1"/>
    </xf>
    <xf numFmtId="0" fontId="25" fillId="0" borderId="29" xfId="0" applyFont="1" applyBorder="1" applyAlignment="1">
      <alignment horizontal="center" vertical="center" wrapText="1"/>
    </xf>
    <xf numFmtId="0" fontId="25" fillId="0" borderId="61" xfId="0" applyFont="1" applyBorder="1" applyAlignment="1">
      <alignment horizontal="center" vertical="center" wrapText="1"/>
    </xf>
    <xf numFmtId="0" fontId="25" fillId="0" borderId="44" xfId="0" applyFont="1" applyBorder="1" applyAlignment="1">
      <alignment horizontal="center" vertical="center" wrapText="1"/>
    </xf>
    <xf numFmtId="0" fontId="25" fillId="0" borderId="24" xfId="0" applyFont="1" applyBorder="1" applyAlignment="1">
      <alignment horizontal="center" vertical="center"/>
    </xf>
    <xf numFmtId="0" fontId="25" fillId="0" borderId="25" xfId="0" applyFont="1" applyBorder="1" applyAlignment="1">
      <alignment horizontal="center" vertical="center" wrapText="1"/>
    </xf>
    <xf numFmtId="171" fontId="2" fillId="0" borderId="20" xfId="0" applyNumberFormat="1" applyFont="1" applyBorder="1" applyAlignment="1">
      <alignment vertical="center"/>
    </xf>
    <xf numFmtId="0" fontId="25" fillId="0" borderId="63" xfId="0" applyFont="1" applyBorder="1" applyAlignment="1">
      <alignment horizontal="center" vertical="center" wrapText="1"/>
    </xf>
    <xf numFmtId="0" fontId="25" fillId="0" borderId="18" xfId="0" applyFont="1" applyBorder="1" applyAlignment="1">
      <alignment horizontal="center" vertical="center" wrapText="1"/>
    </xf>
    <xf numFmtId="0" fontId="25" fillId="0" borderId="17" xfId="0" applyFont="1" applyBorder="1" applyAlignment="1">
      <alignment horizontal="center" vertical="center" wrapText="1"/>
    </xf>
    <xf numFmtId="0" fontId="25" fillId="0" borderId="17" xfId="0" applyFont="1" applyBorder="1" applyAlignment="1">
      <alignment horizontal="center" vertical="center"/>
    </xf>
    <xf numFmtId="0" fontId="25" fillId="0" borderId="24" xfId="0" applyFont="1" applyBorder="1" applyAlignment="1">
      <alignment horizontal="center" vertical="center" wrapText="1"/>
    </xf>
    <xf numFmtId="169" fontId="3" fillId="0" borderId="44" xfId="0" applyNumberFormat="1" applyFont="1" applyBorder="1" applyAlignment="1">
      <alignment horizontal="center" vertical="center"/>
    </xf>
    <xf numFmtId="169" fontId="3" fillId="0" borderId="25" xfId="0" applyNumberFormat="1" applyFont="1" applyBorder="1" applyAlignment="1">
      <alignment horizontal="center" vertical="center"/>
    </xf>
    <xf numFmtId="0" fontId="15" fillId="0" borderId="44" xfId="0" applyFont="1" applyBorder="1" applyAlignment="1">
      <alignment horizontal="center" vertical="center" wrapText="1"/>
    </xf>
    <xf numFmtId="0" fontId="15" fillId="0" borderId="24" xfId="0" applyFont="1" applyBorder="1" applyAlignment="1">
      <alignment horizontal="center" vertical="center" wrapText="1"/>
    </xf>
    <xf numFmtId="177" fontId="9" fillId="0" borderId="30" xfId="0" applyNumberFormat="1" applyFont="1" applyBorder="1" applyAlignment="1">
      <alignment vertical="center"/>
    </xf>
    <xf numFmtId="177" fontId="9" fillId="0" borderId="69" xfId="0" applyNumberFormat="1" applyFont="1" applyBorder="1" applyAlignment="1">
      <alignment vertical="center"/>
    </xf>
    <xf numFmtId="177" fontId="9" fillId="0" borderId="38" xfId="0" applyNumberFormat="1" applyFont="1" applyBorder="1" applyAlignment="1">
      <alignment vertical="center"/>
    </xf>
    <xf numFmtId="177" fontId="9" fillId="0" borderId="67" xfId="0" applyNumberFormat="1" applyFont="1" applyBorder="1" applyAlignment="1">
      <alignment vertical="center"/>
    </xf>
    <xf numFmtId="177" fontId="9" fillId="0" borderId="34" xfId="0" applyNumberFormat="1" applyFont="1" applyBorder="1" applyAlignment="1">
      <alignment vertical="center"/>
    </xf>
    <xf numFmtId="177" fontId="9" fillId="0" borderId="68" xfId="0" applyNumberFormat="1" applyFont="1" applyBorder="1" applyAlignment="1">
      <alignment vertical="center"/>
    </xf>
    <xf numFmtId="171" fontId="2" fillId="0" borderId="19" xfId="0" applyNumberFormat="1" applyFont="1" applyBorder="1" applyAlignment="1">
      <alignment vertical="center"/>
    </xf>
    <xf numFmtId="171" fontId="2" fillId="0" borderId="21" xfId="0" applyNumberFormat="1" applyFont="1" applyBorder="1" applyAlignment="1">
      <alignment vertical="center"/>
    </xf>
    <xf numFmtId="183" fontId="11" fillId="0" borderId="0" xfId="0" applyNumberFormat="1" applyFont="1" applyAlignment="1">
      <alignment horizontal="left" vertical="center"/>
    </xf>
    <xf numFmtId="183" fontId="11" fillId="0" borderId="1" xfId="0" applyNumberFormat="1" applyFont="1" applyBorder="1" applyAlignment="1">
      <alignment horizontal="left" vertical="center"/>
    </xf>
    <xf numFmtId="184" fontId="11" fillId="0" borderId="0" xfId="0" applyNumberFormat="1" applyFont="1" applyAlignment="1">
      <alignment horizontal="left" vertical="center"/>
    </xf>
    <xf numFmtId="184" fontId="11" fillId="0" borderId="1" xfId="0" applyNumberFormat="1" applyFont="1" applyBorder="1" applyAlignment="1">
      <alignment horizontal="left" vertical="center"/>
    </xf>
    <xf numFmtId="0" fontId="25" fillId="0" borderId="23" xfId="0" applyFont="1" applyBorder="1" applyAlignment="1">
      <alignment horizontal="center" vertical="center" wrapText="1"/>
    </xf>
    <xf numFmtId="0" fontId="25" fillId="0" borderId="9" xfId="0" applyFont="1" applyBorder="1" applyAlignment="1">
      <alignment horizontal="center" vertical="center" wrapText="1"/>
    </xf>
    <xf numFmtId="0" fontId="25" fillId="0" borderId="32" xfId="0" applyFont="1" applyBorder="1" applyAlignment="1">
      <alignment horizontal="center" vertical="center" wrapText="1"/>
    </xf>
    <xf numFmtId="0" fontId="25" fillId="0" borderId="46" xfId="0" applyFont="1" applyBorder="1" applyAlignment="1">
      <alignment horizontal="center" vertical="center" wrapText="1"/>
    </xf>
    <xf numFmtId="0" fontId="25" fillId="0" borderId="71" xfId="0" applyFont="1" applyBorder="1" applyAlignment="1">
      <alignment horizontal="center" vertical="center" wrapText="1"/>
    </xf>
    <xf numFmtId="0" fontId="25" fillId="0" borderId="76" xfId="0" applyFont="1" applyBorder="1" applyAlignment="1">
      <alignment horizontal="center" vertical="center" wrapText="1"/>
    </xf>
    <xf numFmtId="0" fontId="25" fillId="0" borderId="23" xfId="0" applyFont="1" applyBorder="1" applyAlignment="1">
      <alignment horizontal="left" vertical="center" wrapText="1"/>
    </xf>
    <xf numFmtId="0" fontId="25" fillId="0" borderId="9" xfId="0" applyFont="1" applyBorder="1" applyAlignment="1">
      <alignment horizontal="left" vertical="center"/>
    </xf>
    <xf numFmtId="0" fontId="25" fillId="0" borderId="9" xfId="0" applyFont="1" applyBorder="1" applyAlignment="1">
      <alignment horizontal="center" vertical="center"/>
    </xf>
    <xf numFmtId="0" fontId="25" fillId="0" borderId="72" xfId="0" applyFont="1" applyBorder="1" applyAlignment="1">
      <alignment horizontal="center" vertical="center" wrapText="1"/>
    </xf>
    <xf numFmtId="0" fontId="25" fillId="0" borderId="65" xfId="0" applyFont="1" applyBorder="1" applyAlignment="1">
      <alignment horizontal="center" vertical="center" wrapText="1"/>
    </xf>
    <xf numFmtId="0" fontId="25" fillId="4" borderId="17" xfId="0" applyFont="1" applyFill="1" applyBorder="1" applyAlignment="1">
      <alignment horizontal="center" vertical="center" wrapText="1"/>
    </xf>
    <xf numFmtId="0" fontId="12" fillId="0" borderId="17" xfId="0" applyFont="1" applyBorder="1" applyAlignment="1">
      <alignment horizontal="center" vertical="center"/>
    </xf>
  </cellXfs>
  <cellStyles count="7">
    <cellStyle name="Dezimal_Gehälter Mittermair Thomas" xfId="1" xr:uid="{00000000-0005-0000-0000-000000000000}"/>
    <cellStyle name="Euro" xfId="2" xr:uid="{00000000-0005-0000-0000-000001000000}"/>
    <cellStyle name="Prozent" xfId="3" builtinId="5"/>
    <cellStyle name="Standard" xfId="0" builtinId="0"/>
    <cellStyle name="Standard 2" xfId="4" xr:uid="{00000000-0005-0000-0000-000004000000}"/>
    <cellStyle name="Standard 4 2" xfId="5" xr:uid="{00000000-0005-0000-0000-000005000000}"/>
    <cellStyle name="Standard 5" xfId="6" xr:uid="{00000000-0005-0000-0000-000006000000}"/>
  </cellStyles>
  <dxfs count="0"/>
  <tableStyles count="0" defaultTableStyle="TableStyleMedium9" defaultPivotStyle="PivotStyleLight16"/>
  <colors>
    <mruColors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ctrlProps/ctrlProp1.xml><?xml version="1.0" encoding="utf-8"?>
<formControlPr xmlns="http://schemas.microsoft.com/office/spreadsheetml/2009/9/main" objectType="Drop" dropStyle="combo" dx="22" fmlaLink="$P$3" fmlaRange="'Mit-1'!$B$5:$B$19" noThreeD="1" sel="1" val="0"/>
</file>

<file path=xl/ctrlProps/ctrlProp10.xml><?xml version="1.0" encoding="utf-8"?>
<formControlPr xmlns="http://schemas.microsoft.com/office/spreadsheetml/2009/9/main" objectType="Drop" dropStyle="combo" dx="22" fmlaLink="$P$3" fmlaRange="'Mit-1'!$B$5:$B$19" noThreeD="1" sel="1" val="0"/>
</file>

<file path=xl/ctrlProps/ctrlProp11.xml><?xml version="1.0" encoding="utf-8"?>
<formControlPr xmlns="http://schemas.microsoft.com/office/spreadsheetml/2009/9/main" objectType="Drop" dropStyle="combo" dx="22" fmlaLink="$P$3" fmlaRange="'Mit-1'!$B$5:$B$19" noThreeD="1" sel="1" val="0"/>
</file>

<file path=xl/ctrlProps/ctrlProp12.xml><?xml version="1.0" encoding="utf-8"?>
<formControlPr xmlns="http://schemas.microsoft.com/office/spreadsheetml/2009/9/main" objectType="Drop" dropStyle="combo" dx="22" fmlaLink="$P$3" fmlaRange="'Mit-1'!$B$5:$B$19" noThreeD="1" sel="1" val="0"/>
</file>

<file path=xl/ctrlProps/ctrlProp13.xml><?xml version="1.0" encoding="utf-8"?>
<formControlPr xmlns="http://schemas.microsoft.com/office/spreadsheetml/2009/9/main" objectType="Drop" dropStyle="combo" dx="22" fmlaLink="$P$3" fmlaRange="'Mit-1'!$B$5:$B$19" noThreeD="1" sel="1" val="0"/>
</file>

<file path=xl/ctrlProps/ctrlProp14.xml><?xml version="1.0" encoding="utf-8"?>
<formControlPr xmlns="http://schemas.microsoft.com/office/spreadsheetml/2009/9/main" objectType="Drop" dropStyle="combo" dx="22" fmlaLink="$P$3" fmlaRange="'Mit-1'!$B$5:$B$19" noThreeD="1" sel="1" val="0"/>
</file>

<file path=xl/ctrlProps/ctrlProp2.xml><?xml version="1.0" encoding="utf-8"?>
<formControlPr xmlns="http://schemas.microsoft.com/office/spreadsheetml/2009/9/main" objectType="Drop" dropStyle="combo" dx="22" fmlaLink="$P$3" fmlaRange="'Mit-1'!$B$5:$B$19" noThreeD="1" sel="1" val="0"/>
</file>

<file path=xl/ctrlProps/ctrlProp3.xml><?xml version="1.0" encoding="utf-8"?>
<formControlPr xmlns="http://schemas.microsoft.com/office/spreadsheetml/2009/9/main" objectType="Drop" dropStyle="combo" dx="22" fmlaLink="$P$3" fmlaRange="'Mit-1'!$B$5:$B$19" noThreeD="1" sel="1" val="0"/>
</file>

<file path=xl/ctrlProps/ctrlProp4.xml><?xml version="1.0" encoding="utf-8"?>
<formControlPr xmlns="http://schemas.microsoft.com/office/spreadsheetml/2009/9/main" objectType="Drop" dropStyle="combo" dx="22" fmlaLink="$P$3" fmlaRange="'Mit-1'!$B$5:$B$19" noThreeD="1" sel="1" val="0"/>
</file>

<file path=xl/ctrlProps/ctrlProp5.xml><?xml version="1.0" encoding="utf-8"?>
<formControlPr xmlns="http://schemas.microsoft.com/office/spreadsheetml/2009/9/main" objectType="Drop" dropStyle="combo" dx="22" fmlaLink="$P$3" fmlaRange="'Mit-1'!$B$5:$B$19" noThreeD="1" sel="1" val="0"/>
</file>

<file path=xl/ctrlProps/ctrlProp6.xml><?xml version="1.0" encoding="utf-8"?>
<formControlPr xmlns="http://schemas.microsoft.com/office/spreadsheetml/2009/9/main" objectType="Drop" dropStyle="combo" dx="22" fmlaLink="$P$3" fmlaRange="'Mit-1'!$B$5:$B$19" noThreeD="1" sel="1" val="0"/>
</file>

<file path=xl/ctrlProps/ctrlProp7.xml><?xml version="1.0" encoding="utf-8"?>
<formControlPr xmlns="http://schemas.microsoft.com/office/spreadsheetml/2009/9/main" objectType="Drop" dropStyle="combo" dx="22" fmlaLink="$P$3" fmlaRange="'Mit-1'!$B$5:$B$19" noThreeD="1" sel="1" val="0"/>
</file>

<file path=xl/ctrlProps/ctrlProp8.xml><?xml version="1.0" encoding="utf-8"?>
<formControlPr xmlns="http://schemas.microsoft.com/office/spreadsheetml/2009/9/main" objectType="Drop" dropStyle="combo" dx="22" fmlaLink="$P$3" fmlaRange="'Mit-1'!$B$5:$B$19" noThreeD="1" sel="1" val="0"/>
</file>

<file path=xl/ctrlProps/ctrlProp9.xml><?xml version="1.0" encoding="utf-8"?>
<formControlPr xmlns="http://schemas.microsoft.com/office/spreadsheetml/2009/9/main" objectType="Drop" dropStyle="combo" dx="22" fmlaLink="$P$3" fmlaRange="'Mit-1'!$B$5:$B$19" noThreeD="1" sel="1" val="0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19050</xdr:colOff>
          <xdr:row>2</xdr:row>
          <xdr:rowOff>19050</xdr:rowOff>
        </xdr:from>
        <xdr:to>
          <xdr:col>8</xdr:col>
          <xdr:colOff>581025</xdr:colOff>
          <xdr:row>3</xdr:row>
          <xdr:rowOff>0</xdr:rowOff>
        </xdr:to>
        <xdr:sp macro="" textlink="">
          <xdr:nvSpPr>
            <xdr:cNvPr id="2056" name="Drop Down 8" hidden="1">
              <a:extLst>
                <a:ext uri="{63B3BB69-23CF-44E3-9099-C40C66FF867C}">
                  <a14:compatExt spid="_x0000_s2056"/>
                </a:ext>
                <a:ext uri="{FF2B5EF4-FFF2-40B4-BE49-F238E27FC236}">
                  <a16:creationId xmlns:a16="http://schemas.microsoft.com/office/drawing/2014/main" id="{00000000-0008-0000-0000-000008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PrintsWithSheet="0"/>
      </xdr:twoCellAnchor>
    </mc:Choice>
    <mc:Fallback/>
  </mc:AlternateContent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390525</xdr:colOff>
          <xdr:row>2</xdr:row>
          <xdr:rowOff>0</xdr:rowOff>
        </xdr:from>
        <xdr:to>
          <xdr:col>8</xdr:col>
          <xdr:colOff>533400</xdr:colOff>
          <xdr:row>3</xdr:row>
          <xdr:rowOff>0</xdr:rowOff>
        </xdr:to>
        <xdr:sp macro="" textlink="">
          <xdr:nvSpPr>
            <xdr:cNvPr id="11268" name="Drop Down 4" hidden="1">
              <a:extLst>
                <a:ext uri="{63B3BB69-23CF-44E3-9099-C40C66FF867C}">
                  <a14:compatExt spid="_x0000_s11268"/>
                </a:ext>
                <a:ext uri="{FF2B5EF4-FFF2-40B4-BE49-F238E27FC236}">
                  <a16:creationId xmlns:a16="http://schemas.microsoft.com/office/drawing/2014/main" id="{00000000-0008-0000-0900-000004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PrintsWithSheet="0"/>
      </xdr:twoCellAnchor>
    </mc:Choice>
    <mc:Fallback/>
  </mc:AlternateContent>
</xdr:wsDr>
</file>

<file path=xl/drawings/drawing1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371475</xdr:colOff>
          <xdr:row>2</xdr:row>
          <xdr:rowOff>9525</xdr:rowOff>
        </xdr:from>
        <xdr:to>
          <xdr:col>8</xdr:col>
          <xdr:colOff>514350</xdr:colOff>
          <xdr:row>3</xdr:row>
          <xdr:rowOff>0</xdr:rowOff>
        </xdr:to>
        <xdr:sp macro="" textlink="">
          <xdr:nvSpPr>
            <xdr:cNvPr id="12292" name="Drop Down 4" hidden="1">
              <a:extLst>
                <a:ext uri="{63B3BB69-23CF-44E3-9099-C40C66FF867C}">
                  <a14:compatExt spid="_x0000_s12292"/>
                </a:ext>
                <a:ext uri="{FF2B5EF4-FFF2-40B4-BE49-F238E27FC236}">
                  <a16:creationId xmlns:a16="http://schemas.microsoft.com/office/drawing/2014/main" id="{00000000-0008-0000-0A00-000004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PrintsWithSheet="0"/>
      </xdr:twoCellAnchor>
    </mc:Choice>
    <mc:Fallback/>
  </mc:AlternateContent>
</xdr:wsDr>
</file>

<file path=xl/drawings/drawing1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371475</xdr:colOff>
          <xdr:row>2</xdr:row>
          <xdr:rowOff>0</xdr:rowOff>
        </xdr:from>
        <xdr:to>
          <xdr:col>8</xdr:col>
          <xdr:colOff>514350</xdr:colOff>
          <xdr:row>3</xdr:row>
          <xdr:rowOff>0</xdr:rowOff>
        </xdr:to>
        <xdr:sp macro="" textlink="">
          <xdr:nvSpPr>
            <xdr:cNvPr id="13316" name="Drop Down 4" hidden="1">
              <a:extLst>
                <a:ext uri="{63B3BB69-23CF-44E3-9099-C40C66FF867C}">
                  <a14:compatExt spid="_x0000_s13316"/>
                </a:ext>
                <a:ext uri="{FF2B5EF4-FFF2-40B4-BE49-F238E27FC236}">
                  <a16:creationId xmlns:a16="http://schemas.microsoft.com/office/drawing/2014/main" id="{00000000-0008-0000-0B00-000004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PrintsWithSheet="0"/>
      </xdr:twoCellAnchor>
    </mc:Choice>
    <mc:Fallback/>
  </mc:AlternateContent>
</xdr:wsDr>
</file>

<file path=xl/drawings/drawing1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9525</xdr:colOff>
          <xdr:row>1</xdr:row>
          <xdr:rowOff>142875</xdr:rowOff>
        </xdr:from>
        <xdr:to>
          <xdr:col>8</xdr:col>
          <xdr:colOff>552450</xdr:colOff>
          <xdr:row>2</xdr:row>
          <xdr:rowOff>171450</xdr:rowOff>
        </xdr:to>
        <xdr:sp macro="" textlink="">
          <xdr:nvSpPr>
            <xdr:cNvPr id="14340" name="Drop Down 4" hidden="1">
              <a:extLst>
                <a:ext uri="{63B3BB69-23CF-44E3-9099-C40C66FF867C}">
                  <a14:compatExt spid="_x0000_s14340"/>
                </a:ext>
                <a:ext uri="{FF2B5EF4-FFF2-40B4-BE49-F238E27FC236}">
                  <a16:creationId xmlns:a16="http://schemas.microsoft.com/office/drawing/2014/main" id="{00000000-0008-0000-0C00-000004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PrintsWithSheet="0"/>
      </xdr:twoCellAnchor>
    </mc:Choice>
    <mc:Fallback/>
  </mc:AlternateContent>
</xdr:wsDr>
</file>

<file path=xl/drawings/drawing1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1</xdr:row>
          <xdr:rowOff>152400</xdr:rowOff>
        </xdr:from>
        <xdr:to>
          <xdr:col>8</xdr:col>
          <xdr:colOff>542925</xdr:colOff>
          <xdr:row>2</xdr:row>
          <xdr:rowOff>190500</xdr:rowOff>
        </xdr:to>
        <xdr:sp macro="" textlink="">
          <xdr:nvSpPr>
            <xdr:cNvPr id="15364" name="Drop Down 4" hidden="1">
              <a:extLst>
                <a:ext uri="{63B3BB69-23CF-44E3-9099-C40C66FF867C}">
                  <a14:compatExt spid="_x0000_s15364"/>
                </a:ext>
                <a:ext uri="{FF2B5EF4-FFF2-40B4-BE49-F238E27FC236}">
                  <a16:creationId xmlns:a16="http://schemas.microsoft.com/office/drawing/2014/main" id="{00000000-0008-0000-0D00-000004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PrintsWithSheet="0"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2</xdr:row>
          <xdr:rowOff>19050</xdr:rowOff>
        </xdr:from>
        <xdr:to>
          <xdr:col>8</xdr:col>
          <xdr:colOff>561975</xdr:colOff>
          <xdr:row>3</xdr:row>
          <xdr:rowOff>0</xdr:rowOff>
        </xdr:to>
        <xdr:sp macro="" textlink="">
          <xdr:nvSpPr>
            <xdr:cNvPr id="3075" name="Drop Down 3" hidden="1">
              <a:extLst>
                <a:ext uri="{63B3BB69-23CF-44E3-9099-C40C66FF867C}">
                  <a14:compatExt spid="_x0000_s3075"/>
                </a:ext>
                <a:ext uri="{FF2B5EF4-FFF2-40B4-BE49-F238E27FC236}">
                  <a16:creationId xmlns:a16="http://schemas.microsoft.com/office/drawing/2014/main" id="{00000000-0008-0000-0100-000003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PrintsWithSheet="0"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2</xdr:row>
          <xdr:rowOff>19050</xdr:rowOff>
        </xdr:from>
        <xdr:to>
          <xdr:col>8</xdr:col>
          <xdr:colOff>561975</xdr:colOff>
          <xdr:row>3</xdr:row>
          <xdr:rowOff>0</xdr:rowOff>
        </xdr:to>
        <xdr:sp macro="" textlink="">
          <xdr:nvSpPr>
            <xdr:cNvPr id="4100" name="Drop Down 4" hidden="1">
              <a:extLst>
                <a:ext uri="{63B3BB69-23CF-44E3-9099-C40C66FF867C}">
                  <a14:compatExt spid="_x0000_s4100"/>
                </a:ext>
                <a:ext uri="{FF2B5EF4-FFF2-40B4-BE49-F238E27FC236}">
                  <a16:creationId xmlns:a16="http://schemas.microsoft.com/office/drawing/2014/main" id="{00000000-0008-0000-0200-000004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PrintsWithSheet="0"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2</xdr:row>
          <xdr:rowOff>9525</xdr:rowOff>
        </xdr:from>
        <xdr:to>
          <xdr:col>8</xdr:col>
          <xdr:colOff>590550</xdr:colOff>
          <xdr:row>3</xdr:row>
          <xdr:rowOff>0</xdr:rowOff>
        </xdr:to>
        <xdr:sp macro="" textlink="">
          <xdr:nvSpPr>
            <xdr:cNvPr id="5122" name="Drop Down 2" hidden="1">
              <a:extLst>
                <a:ext uri="{63B3BB69-23CF-44E3-9099-C40C66FF867C}">
                  <a14:compatExt spid="_x0000_s5122"/>
                </a:ext>
                <a:ext uri="{FF2B5EF4-FFF2-40B4-BE49-F238E27FC236}">
                  <a16:creationId xmlns:a16="http://schemas.microsoft.com/office/drawing/2014/main" id="{00000000-0008-0000-0300-000002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PrintsWithSheet="0"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9525</xdr:colOff>
          <xdr:row>1</xdr:row>
          <xdr:rowOff>171450</xdr:rowOff>
        </xdr:from>
        <xdr:to>
          <xdr:col>8</xdr:col>
          <xdr:colOff>552450</xdr:colOff>
          <xdr:row>3</xdr:row>
          <xdr:rowOff>0</xdr:rowOff>
        </xdr:to>
        <xdr:sp macro="" textlink="">
          <xdr:nvSpPr>
            <xdr:cNvPr id="6148" name="Drop Down 4" hidden="1">
              <a:extLst>
                <a:ext uri="{63B3BB69-23CF-44E3-9099-C40C66FF867C}">
                  <a14:compatExt spid="_x0000_s6148"/>
                </a:ext>
                <a:ext uri="{FF2B5EF4-FFF2-40B4-BE49-F238E27FC236}">
                  <a16:creationId xmlns:a16="http://schemas.microsoft.com/office/drawing/2014/main" id="{00000000-0008-0000-0400-000004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PrintsWithSheet="0"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381000</xdr:colOff>
          <xdr:row>2</xdr:row>
          <xdr:rowOff>19050</xdr:rowOff>
        </xdr:from>
        <xdr:to>
          <xdr:col>8</xdr:col>
          <xdr:colOff>514350</xdr:colOff>
          <xdr:row>3</xdr:row>
          <xdr:rowOff>0</xdr:rowOff>
        </xdr:to>
        <xdr:sp macro="" textlink="">
          <xdr:nvSpPr>
            <xdr:cNvPr id="7172" name="Drop Down 4" hidden="1">
              <a:extLst>
                <a:ext uri="{63B3BB69-23CF-44E3-9099-C40C66FF867C}">
                  <a14:compatExt spid="_x0000_s7172"/>
                </a:ext>
                <a:ext uri="{FF2B5EF4-FFF2-40B4-BE49-F238E27FC236}">
                  <a16:creationId xmlns:a16="http://schemas.microsoft.com/office/drawing/2014/main" id="{00000000-0008-0000-0500-000004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PrintsWithSheet="0"/>
      </xdr:twoCellAnchor>
    </mc:Choice>
    <mc:Fallback/>
  </mc:AlternateContent>
</xdr:wsDr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2</xdr:row>
          <xdr:rowOff>9525</xdr:rowOff>
        </xdr:from>
        <xdr:to>
          <xdr:col>8</xdr:col>
          <xdr:colOff>542925</xdr:colOff>
          <xdr:row>3</xdr:row>
          <xdr:rowOff>0</xdr:rowOff>
        </xdr:to>
        <xdr:sp macro="" textlink="">
          <xdr:nvSpPr>
            <xdr:cNvPr id="9220" name="Drop Down 4" hidden="1">
              <a:extLst>
                <a:ext uri="{63B3BB69-23CF-44E3-9099-C40C66FF867C}">
                  <a14:compatExt spid="_x0000_s9220"/>
                </a:ext>
                <a:ext uri="{FF2B5EF4-FFF2-40B4-BE49-F238E27FC236}">
                  <a16:creationId xmlns:a16="http://schemas.microsoft.com/office/drawing/2014/main" id="{00000000-0008-0000-0600-000004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PrintsWithSheet="0"/>
      </xdr:twoCellAnchor>
    </mc:Choice>
    <mc:Fallback/>
  </mc:AlternateContent>
</xdr:wsDr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390525</xdr:colOff>
          <xdr:row>2</xdr:row>
          <xdr:rowOff>9525</xdr:rowOff>
        </xdr:from>
        <xdr:to>
          <xdr:col>8</xdr:col>
          <xdr:colOff>533400</xdr:colOff>
          <xdr:row>3</xdr:row>
          <xdr:rowOff>0</xdr:rowOff>
        </xdr:to>
        <xdr:sp macro="" textlink="">
          <xdr:nvSpPr>
            <xdr:cNvPr id="8196" name="Drop Down 4" hidden="1">
              <a:extLst>
                <a:ext uri="{63B3BB69-23CF-44E3-9099-C40C66FF867C}">
                  <a14:compatExt spid="_x0000_s8196"/>
                </a:ext>
                <a:ext uri="{FF2B5EF4-FFF2-40B4-BE49-F238E27FC236}">
                  <a16:creationId xmlns:a16="http://schemas.microsoft.com/office/drawing/2014/main" id="{00000000-0008-0000-0700-000004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PrintsWithSheet="0"/>
      </xdr:twoCellAnchor>
    </mc:Choice>
    <mc:Fallback/>
  </mc:AlternateContent>
</xdr:wsDr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361950</xdr:colOff>
          <xdr:row>2</xdr:row>
          <xdr:rowOff>9525</xdr:rowOff>
        </xdr:from>
        <xdr:to>
          <xdr:col>8</xdr:col>
          <xdr:colOff>514350</xdr:colOff>
          <xdr:row>3</xdr:row>
          <xdr:rowOff>0</xdr:rowOff>
        </xdr:to>
        <xdr:sp macro="" textlink="">
          <xdr:nvSpPr>
            <xdr:cNvPr id="10244" name="Drop Down 4" hidden="1">
              <a:extLst>
                <a:ext uri="{63B3BB69-23CF-44E3-9099-C40C66FF867C}">
                  <a14:compatExt spid="_x0000_s10244"/>
                </a:ext>
                <a:ext uri="{FF2B5EF4-FFF2-40B4-BE49-F238E27FC236}">
                  <a16:creationId xmlns:a16="http://schemas.microsoft.com/office/drawing/2014/main" id="{00000000-0008-0000-0800-000004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PrintsWithSheet="0"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Dati%20di%20bas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irma"/>
      <sheetName val="Mit-1"/>
      <sheetName val="Mit-2"/>
      <sheetName val="Mit-3"/>
      <sheetName val="Lohntab-Tab-retr."/>
      <sheetName val="Beschr-Descr."/>
      <sheetName val="Tab"/>
    </sheetNames>
    <sheetDataSet>
      <sheetData sheetId="0">
        <row r="4">
          <cell r="A4" t="str">
            <v>Asues GmbH</v>
          </cell>
          <cell r="B4" t="str">
            <v>Josef-Ferrari-Straße 12; 39031 Bruneck (BZ)</v>
          </cell>
          <cell r="C4" t="str">
            <v>IT09997110213</v>
          </cell>
          <cell r="D4" t="str">
            <v>09997110213</v>
          </cell>
          <cell r="E4" t="str">
            <v>1420030006</v>
          </cell>
          <cell r="F4" t="str">
            <v>13625</v>
          </cell>
        </row>
        <row r="10">
          <cell r="A10">
            <v>45292</v>
          </cell>
          <cell r="B10">
            <v>31</v>
          </cell>
        </row>
        <row r="11">
          <cell r="A11">
            <v>45323</v>
          </cell>
          <cell r="B11">
            <v>29</v>
          </cell>
        </row>
        <row r="12">
          <cell r="A12">
            <v>45352</v>
          </cell>
          <cell r="B12">
            <v>31</v>
          </cell>
        </row>
        <row r="13">
          <cell r="A13">
            <v>45383</v>
          </cell>
          <cell r="B13">
            <v>30</v>
          </cell>
        </row>
        <row r="14">
          <cell r="A14">
            <v>45413</v>
          </cell>
        </row>
        <row r="15">
          <cell r="A15">
            <v>45444</v>
          </cell>
          <cell r="B15">
            <v>30</v>
          </cell>
        </row>
        <row r="16">
          <cell r="A16" t="str">
            <v>14. M.</v>
          </cell>
        </row>
        <row r="17">
          <cell r="A17">
            <v>45474</v>
          </cell>
          <cell r="B17">
            <v>31</v>
          </cell>
        </row>
        <row r="18">
          <cell r="A18">
            <v>45505</v>
          </cell>
          <cell r="B18">
            <v>31</v>
          </cell>
        </row>
        <row r="19">
          <cell r="A19">
            <v>45536</v>
          </cell>
          <cell r="B19">
            <v>30</v>
          </cell>
        </row>
        <row r="20">
          <cell r="A20">
            <v>45566</v>
          </cell>
          <cell r="B20">
            <v>31</v>
          </cell>
        </row>
        <row r="21">
          <cell r="A21">
            <v>45597</v>
          </cell>
          <cell r="B21">
            <v>30</v>
          </cell>
        </row>
        <row r="22">
          <cell r="A22" t="str">
            <v>13. M.</v>
          </cell>
        </row>
        <row r="23">
          <cell r="A23">
            <v>45627</v>
          </cell>
          <cell r="B23">
            <v>31</v>
          </cell>
        </row>
        <row r="24">
          <cell r="B24">
            <v>366</v>
          </cell>
          <cell r="C24">
            <v>366</v>
          </cell>
        </row>
      </sheetData>
      <sheetData sheetId="1">
        <row r="3">
          <cell r="A3" t="str">
            <v>Nr.</v>
          </cell>
          <cell r="B3" t="str">
            <v>Name u. Vorname
Cognome e nome</v>
          </cell>
          <cell r="C3" t="str">
            <v>Anschrift
Indirizzo</v>
          </cell>
          <cell r="D3" t="str">
            <v>Geburts-
datum 
Data di nascita</v>
          </cell>
          <cell r="E3" t="str">
            <v>Geburtsort
Luogo di nascita</v>
          </cell>
          <cell r="F3" t="str">
            <v>Steuernummer
Codice Fiscale</v>
          </cell>
          <cell r="G3" t="str">
            <v>Eintritts-
datum
Data assunzione</v>
          </cell>
          <cell r="H3" t="str">
            <v>Austritts-datum
Data licenziam.</v>
          </cell>
          <cell r="I3" t="str">
            <v>Regionaler Steuerzuschlag IRPEF
Vorjahr
Addizionale regionale 
anno precedente 
(siehe unten)
(vedasi sotto)</v>
          </cell>
          <cell r="J3" t="str">
            <v>Gemeinde-Zusatzsteuer
Vorjahr
Addizionale comunale
anno precedente
(siehe unten)
(vedasi sotto)</v>
          </cell>
          <cell r="K3" t="str">
            <v>voraussichtl. Einkommen  lfd. Jahr
(für Berechnung  Absetzbeträge)
Reddito presunto anno corrente
(per il calcolo delle detrazioni d'imposta)</v>
          </cell>
          <cell r="L3" t="str">
            <v xml:space="preserve">Monatliche Freibeträge vom Einkommen  Art.10 
(z.B. Unterhalts-
zahlung an getrennten Ehepartner)
Detrazioni mensili dal reddito Art. 10
(p.es. alimenti all'ex coniuge) </v>
          </cell>
          <cell r="M3" t="str">
            <v>Jährlicher Steuerabsetz-betrag für abhängige Arbeit
Detrazione annua d'imposta per lavoro dipendente</v>
          </cell>
          <cell r="N3" t="str">
            <v>Jährlicher Steuerabsetz-betrag für zu Lasten lebenden Ehepartner
Detrazione annua d'imposta per coniuge a carico</v>
          </cell>
          <cell r="O3" t="str">
            <v>Jährlicher Steuerabsetz-
betrag für zu Lasten lebende Kinder 21-24 J.
Detrazione annua dal reddito per figli a carico 
21-24 a.</v>
          </cell>
          <cell r="P3" t="str">
            <v xml:space="preserve">Jährlicher Steuerabsetz-
betrag für andere zu Lasten lebende Personen
Detrazione annua dal reddito per altre persone a carico 
</v>
          </cell>
          <cell r="Q3" t="str">
            <v>Gemeinde-
zusatz-
steuer
Addizion. comunale
%</v>
          </cell>
          <cell r="R3" t="str">
            <v>Zusatzrenten-fonds
Arbeitnehmer
%
Fondi di previdenza complem. dipendente
%</v>
          </cell>
          <cell r="S3" t="str">
            <v>Regionale Zusatz-
steuer
%
Addizion. regionale 
%</v>
          </cell>
          <cell r="U3" t="str">
            <v>Abfertigungs-fonds Vorjahr
Fondo TFR 
anno precedente</v>
          </cell>
        </row>
        <row r="4">
          <cell r="A4"/>
          <cell r="B4"/>
          <cell r="C4"/>
          <cell r="D4"/>
          <cell r="E4"/>
          <cell r="F4"/>
          <cell r="G4"/>
          <cell r="H4"/>
          <cell r="I4"/>
          <cell r="J4"/>
          <cell r="K4"/>
          <cell r="L4"/>
          <cell r="M4"/>
          <cell r="N4"/>
          <cell r="O4"/>
          <cell r="P4"/>
          <cell r="Q4"/>
          <cell r="R4"/>
          <cell r="S4"/>
          <cell r="U4"/>
        </row>
        <row r="5">
          <cell r="A5">
            <v>1</v>
          </cell>
          <cell r="B5" t="str">
            <v>AAAAA BBBBB</v>
          </cell>
          <cell r="C5" t="str">
            <v>Michael-Pacher-Straße 10, 39031 Bruneck</v>
          </cell>
          <cell r="D5">
            <v>30723</v>
          </cell>
          <cell r="E5" t="str">
            <v>Bruneck</v>
          </cell>
          <cell r="F5" t="str">
            <v>AAABBB84B11B220G</v>
          </cell>
          <cell r="G5">
            <v>45597</v>
          </cell>
          <cell r="H5"/>
          <cell r="I5">
            <v>0</v>
          </cell>
          <cell r="J5">
            <v>0</v>
          </cell>
          <cell r="K5">
            <v>35000</v>
          </cell>
          <cell r="L5"/>
          <cell r="M5">
            <v>1367.24</v>
          </cell>
          <cell r="N5">
            <v>0</v>
          </cell>
          <cell r="O5">
            <v>0</v>
          </cell>
          <cell r="P5">
            <v>0</v>
          </cell>
          <cell r="Q5">
            <v>3.0000000000000001E-3</v>
          </cell>
          <cell r="R5">
            <v>5.4999999999999997E-3</v>
          </cell>
          <cell r="S5">
            <v>1.23E-2</v>
          </cell>
          <cell r="T5"/>
          <cell r="U5">
            <v>0</v>
          </cell>
          <cell r="V5" t="str">
            <v>Nein</v>
          </cell>
          <cell r="W5" t="str">
            <v>Nein</v>
          </cell>
          <cell r="X5">
            <v>3</v>
          </cell>
          <cell r="Y5">
            <v>0</v>
          </cell>
          <cell r="Z5"/>
          <cell r="AA5"/>
          <cell r="AB5">
            <v>0</v>
          </cell>
          <cell r="AC5">
            <v>0</v>
          </cell>
        </row>
        <row r="6">
          <cell r="A6">
            <v>2</v>
          </cell>
          <cell r="B6"/>
          <cell r="C6"/>
          <cell r="D6"/>
          <cell r="E6"/>
          <cell r="F6"/>
          <cell r="G6"/>
          <cell r="H6"/>
          <cell r="I6"/>
          <cell r="J6"/>
          <cell r="K6"/>
          <cell r="L6"/>
          <cell r="M6">
            <v>0</v>
          </cell>
          <cell r="N6">
            <v>0</v>
          </cell>
          <cell r="O6">
            <v>0</v>
          </cell>
          <cell r="P6">
            <v>0</v>
          </cell>
          <cell r="Q6"/>
          <cell r="R6"/>
          <cell r="S6"/>
          <cell r="T6"/>
          <cell r="U6"/>
          <cell r="V6"/>
          <cell r="W6"/>
          <cell r="X6"/>
          <cell r="Y6"/>
          <cell r="Z6"/>
          <cell r="AA6"/>
          <cell r="AB6"/>
          <cell r="AC6">
            <v>0</v>
          </cell>
        </row>
        <row r="7">
          <cell r="A7">
            <v>3</v>
          </cell>
          <cell r="B7"/>
          <cell r="C7"/>
          <cell r="D7"/>
          <cell r="E7"/>
          <cell r="F7"/>
          <cell r="G7"/>
          <cell r="H7"/>
          <cell r="I7"/>
          <cell r="J7"/>
          <cell r="K7"/>
          <cell r="L7"/>
          <cell r="M7">
            <v>0</v>
          </cell>
          <cell r="N7">
            <v>0</v>
          </cell>
          <cell r="O7">
            <v>0</v>
          </cell>
          <cell r="P7">
            <v>0</v>
          </cell>
          <cell r="Q7"/>
          <cell r="R7"/>
          <cell r="S7"/>
          <cell r="T7"/>
          <cell r="U7"/>
          <cell r="V7"/>
          <cell r="W7"/>
          <cell r="X7">
            <v>2</v>
          </cell>
          <cell r="Y7"/>
          <cell r="Z7"/>
          <cell r="AA7"/>
          <cell r="AB7"/>
          <cell r="AC7">
            <v>0</v>
          </cell>
        </row>
        <row r="8">
          <cell r="A8">
            <v>4</v>
          </cell>
          <cell r="B8"/>
          <cell r="C8"/>
          <cell r="D8"/>
          <cell r="E8"/>
          <cell r="F8"/>
          <cell r="G8"/>
          <cell r="H8"/>
          <cell r="I8"/>
          <cell r="J8"/>
          <cell r="K8"/>
          <cell r="L8"/>
          <cell r="M8">
            <v>0</v>
          </cell>
          <cell r="N8">
            <v>0</v>
          </cell>
          <cell r="O8">
            <v>0</v>
          </cell>
          <cell r="P8">
            <v>0</v>
          </cell>
          <cell r="Q8"/>
          <cell r="R8"/>
          <cell r="S8"/>
          <cell r="T8"/>
          <cell r="U8"/>
          <cell r="V8"/>
          <cell r="W8"/>
          <cell r="X8"/>
          <cell r="Y8"/>
          <cell r="Z8"/>
          <cell r="AA8"/>
          <cell r="AB8"/>
          <cell r="AC8">
            <v>0</v>
          </cell>
        </row>
        <row r="9">
          <cell r="A9">
            <v>5</v>
          </cell>
          <cell r="B9"/>
          <cell r="C9"/>
          <cell r="D9"/>
          <cell r="E9"/>
          <cell r="F9"/>
          <cell r="G9"/>
          <cell r="H9"/>
          <cell r="I9"/>
          <cell r="J9"/>
          <cell r="K9"/>
          <cell r="L9"/>
          <cell r="M9">
            <v>0</v>
          </cell>
          <cell r="N9">
            <v>0</v>
          </cell>
          <cell r="O9">
            <v>0</v>
          </cell>
          <cell r="P9">
            <v>0</v>
          </cell>
          <cell r="Q9"/>
          <cell r="R9"/>
          <cell r="S9"/>
          <cell r="T9"/>
          <cell r="U9"/>
          <cell r="V9"/>
          <cell r="W9"/>
          <cell r="X9"/>
          <cell r="Y9"/>
          <cell r="Z9"/>
          <cell r="AA9"/>
          <cell r="AB9"/>
          <cell r="AC9">
            <v>0</v>
          </cell>
        </row>
        <row r="10">
          <cell r="A10">
            <v>6</v>
          </cell>
          <cell r="B10"/>
          <cell r="C10"/>
          <cell r="D10"/>
          <cell r="E10"/>
          <cell r="F10"/>
          <cell r="G10"/>
          <cell r="H10"/>
          <cell r="I10"/>
          <cell r="J10"/>
          <cell r="K10"/>
          <cell r="L10"/>
          <cell r="M10">
            <v>0</v>
          </cell>
          <cell r="N10">
            <v>0</v>
          </cell>
          <cell r="O10">
            <v>0</v>
          </cell>
          <cell r="P10">
            <v>0</v>
          </cell>
          <cell r="Q10"/>
          <cell r="R10"/>
          <cell r="S10"/>
          <cell r="T10"/>
          <cell r="U10"/>
          <cell r="V10"/>
          <cell r="W10"/>
          <cell r="X10"/>
          <cell r="Y10"/>
          <cell r="Z10"/>
          <cell r="AA10"/>
          <cell r="AB10"/>
          <cell r="AC10">
            <v>0</v>
          </cell>
        </row>
        <row r="11">
          <cell r="A11">
            <v>7</v>
          </cell>
          <cell r="B11"/>
          <cell r="C11"/>
          <cell r="D11"/>
          <cell r="E11"/>
          <cell r="F11"/>
          <cell r="G11"/>
          <cell r="H11"/>
          <cell r="I11"/>
          <cell r="J11"/>
          <cell r="K11"/>
          <cell r="L11"/>
          <cell r="M11">
            <v>0</v>
          </cell>
          <cell r="N11">
            <v>0</v>
          </cell>
          <cell r="O11">
            <v>0</v>
          </cell>
          <cell r="P11">
            <v>0</v>
          </cell>
          <cell r="Q11"/>
          <cell r="R11"/>
          <cell r="S11"/>
          <cell r="T11"/>
          <cell r="U11"/>
          <cell r="V11"/>
          <cell r="W11"/>
          <cell r="X11"/>
          <cell r="Y11"/>
          <cell r="Z11"/>
          <cell r="AA11"/>
          <cell r="AB11"/>
          <cell r="AC11">
            <v>0</v>
          </cell>
        </row>
        <row r="12">
          <cell r="A12">
            <v>8</v>
          </cell>
          <cell r="B12"/>
          <cell r="C12"/>
          <cell r="D12"/>
          <cell r="E12"/>
          <cell r="F12"/>
          <cell r="G12"/>
          <cell r="H12"/>
          <cell r="I12"/>
          <cell r="J12"/>
          <cell r="K12"/>
          <cell r="L12"/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/>
          <cell r="R12"/>
          <cell r="S12"/>
          <cell r="T12"/>
          <cell r="U12"/>
          <cell r="V12"/>
          <cell r="W12"/>
          <cell r="X12"/>
          <cell r="Y12"/>
          <cell r="Z12"/>
          <cell r="AA12"/>
          <cell r="AB12"/>
          <cell r="AC12">
            <v>0</v>
          </cell>
        </row>
        <row r="13">
          <cell r="A13">
            <v>9</v>
          </cell>
          <cell r="B13"/>
          <cell r="C13"/>
          <cell r="D13"/>
          <cell r="E13"/>
          <cell r="F13"/>
          <cell r="G13"/>
          <cell r="H13"/>
          <cell r="I13"/>
          <cell r="J13"/>
          <cell r="K13"/>
          <cell r="L13"/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/>
          <cell r="R13"/>
          <cell r="S13"/>
          <cell r="T13"/>
          <cell r="U13"/>
          <cell r="V13"/>
          <cell r="W13"/>
          <cell r="X13"/>
          <cell r="Y13"/>
          <cell r="Z13"/>
          <cell r="AA13"/>
          <cell r="AB13"/>
          <cell r="AC13">
            <v>0</v>
          </cell>
        </row>
        <row r="14">
          <cell r="A14">
            <v>10</v>
          </cell>
          <cell r="B14"/>
          <cell r="C14"/>
          <cell r="D14"/>
          <cell r="E14"/>
          <cell r="F14"/>
          <cell r="G14"/>
          <cell r="H14"/>
          <cell r="I14"/>
          <cell r="J14"/>
          <cell r="K14"/>
          <cell r="L14"/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/>
          <cell r="R14"/>
          <cell r="S14"/>
          <cell r="T14"/>
          <cell r="U14"/>
          <cell r="V14"/>
          <cell r="W14"/>
          <cell r="X14"/>
          <cell r="Y14"/>
          <cell r="Z14"/>
          <cell r="AA14"/>
          <cell r="AB14"/>
          <cell r="AC14">
            <v>0</v>
          </cell>
        </row>
        <row r="15">
          <cell r="A15">
            <v>11</v>
          </cell>
          <cell r="B15"/>
          <cell r="C15"/>
          <cell r="D15"/>
          <cell r="E15"/>
          <cell r="F15"/>
          <cell r="G15"/>
          <cell r="H15"/>
          <cell r="I15"/>
          <cell r="J15"/>
          <cell r="K15"/>
          <cell r="L15"/>
          <cell r="M15">
            <v>0</v>
          </cell>
          <cell r="N15">
            <v>0</v>
          </cell>
          <cell r="O15">
            <v>0</v>
          </cell>
          <cell r="P15">
            <v>0</v>
          </cell>
          <cell r="Q15"/>
          <cell r="R15"/>
          <cell r="S15"/>
          <cell r="T15"/>
          <cell r="U15"/>
          <cell r="V15"/>
          <cell r="W15"/>
          <cell r="X15"/>
          <cell r="Y15"/>
          <cell r="Z15"/>
          <cell r="AA15"/>
          <cell r="AB15"/>
          <cell r="AC15">
            <v>0</v>
          </cell>
        </row>
        <row r="16">
          <cell r="A16">
            <v>12</v>
          </cell>
          <cell r="B16"/>
          <cell r="C16"/>
          <cell r="D16"/>
          <cell r="E16"/>
          <cell r="F16"/>
          <cell r="G16"/>
          <cell r="H16"/>
          <cell r="I16"/>
          <cell r="J16"/>
          <cell r="K16"/>
          <cell r="L16"/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/>
          <cell r="R16"/>
          <cell r="S16"/>
          <cell r="T16"/>
          <cell r="U16"/>
          <cell r="V16"/>
          <cell r="W16"/>
          <cell r="X16"/>
          <cell r="Y16"/>
          <cell r="Z16"/>
          <cell r="AA16"/>
          <cell r="AB16"/>
          <cell r="AC16">
            <v>0</v>
          </cell>
        </row>
        <row r="17">
          <cell r="A17">
            <v>13</v>
          </cell>
          <cell r="B17"/>
          <cell r="C17"/>
          <cell r="D17"/>
          <cell r="E17"/>
          <cell r="F17"/>
          <cell r="G17"/>
          <cell r="H17"/>
          <cell r="I17"/>
          <cell r="J17"/>
          <cell r="K17"/>
          <cell r="L17"/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/>
          <cell r="R17"/>
          <cell r="S17"/>
          <cell r="T17"/>
          <cell r="U17"/>
          <cell r="V17"/>
          <cell r="W17"/>
          <cell r="X17"/>
          <cell r="Y17"/>
          <cell r="Z17"/>
          <cell r="AA17"/>
          <cell r="AB17"/>
          <cell r="AC17">
            <v>0</v>
          </cell>
        </row>
        <row r="18">
          <cell r="A18">
            <v>14</v>
          </cell>
          <cell r="B18"/>
          <cell r="C18"/>
          <cell r="D18"/>
          <cell r="E18"/>
          <cell r="F18"/>
          <cell r="G18"/>
          <cell r="H18"/>
          <cell r="I18"/>
          <cell r="J18"/>
          <cell r="K18"/>
          <cell r="L18"/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/>
          <cell r="R18"/>
          <cell r="S18"/>
          <cell r="T18"/>
          <cell r="U18"/>
          <cell r="V18"/>
          <cell r="W18"/>
          <cell r="X18"/>
          <cell r="Y18"/>
          <cell r="Z18"/>
          <cell r="AA18"/>
          <cell r="AB18"/>
          <cell r="AC18">
            <v>0</v>
          </cell>
        </row>
        <row r="19">
          <cell r="A19">
            <v>15</v>
          </cell>
          <cell r="B19"/>
          <cell r="C19"/>
          <cell r="D19"/>
          <cell r="E19"/>
          <cell r="F19"/>
          <cell r="G19"/>
          <cell r="H19"/>
          <cell r="I19"/>
          <cell r="J19"/>
          <cell r="K19"/>
          <cell r="L19"/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/>
          <cell r="R19"/>
          <cell r="S19"/>
          <cell r="T19"/>
          <cell r="U19"/>
          <cell r="V19"/>
          <cell r="W19"/>
          <cell r="X19"/>
          <cell r="Y19"/>
          <cell r="Z19"/>
          <cell r="AA19"/>
          <cell r="AB19"/>
          <cell r="AC19">
            <v>0</v>
          </cell>
        </row>
        <row r="21">
          <cell r="C21">
            <v>9.1899999999999996E-2</v>
          </cell>
          <cell r="I21">
            <v>1E-3</v>
          </cell>
        </row>
        <row r="23">
          <cell r="I23">
            <v>4.0000000000000001E-3</v>
          </cell>
        </row>
        <row r="25">
          <cell r="I25">
            <v>2</v>
          </cell>
        </row>
        <row r="29">
          <cell r="A29" t="str">
            <v>Nr.</v>
          </cell>
          <cell r="B29" t="str">
            <v>Name</v>
          </cell>
          <cell r="C29" t="str">
            <v>Matrikelnummer</v>
          </cell>
        </row>
        <row r="30">
          <cell r="A30">
            <v>1</v>
          </cell>
          <cell r="B30" t="str">
            <v>AAAAA BBBBB</v>
          </cell>
          <cell r="C30">
            <v>1</v>
          </cell>
        </row>
        <row r="31">
          <cell r="A31">
            <v>2</v>
          </cell>
          <cell r="B31">
            <v>0</v>
          </cell>
          <cell r="C31">
            <v>2</v>
          </cell>
        </row>
        <row r="32">
          <cell r="A32">
            <v>3</v>
          </cell>
          <cell r="B32">
            <v>0</v>
          </cell>
          <cell r="C32">
            <v>3</v>
          </cell>
        </row>
        <row r="33">
          <cell r="A33">
            <v>4</v>
          </cell>
          <cell r="B33">
            <v>0</v>
          </cell>
          <cell r="C33">
            <v>4</v>
          </cell>
        </row>
        <row r="34">
          <cell r="A34">
            <v>5</v>
          </cell>
          <cell r="B34">
            <v>0</v>
          </cell>
          <cell r="C34">
            <v>5</v>
          </cell>
        </row>
        <row r="35">
          <cell r="A35">
            <v>6</v>
          </cell>
          <cell r="B35">
            <v>0</v>
          </cell>
          <cell r="C35">
            <v>6</v>
          </cell>
        </row>
        <row r="36">
          <cell r="A36">
            <v>7</v>
          </cell>
          <cell r="B36">
            <v>0</v>
          </cell>
          <cell r="C36">
            <v>7</v>
          </cell>
        </row>
        <row r="37">
          <cell r="A37">
            <v>8</v>
          </cell>
          <cell r="B37">
            <v>0</v>
          </cell>
          <cell r="C37">
            <v>8</v>
          </cell>
        </row>
        <row r="38">
          <cell r="A38">
            <v>9</v>
          </cell>
          <cell r="B38">
            <v>0</v>
          </cell>
          <cell r="C38">
            <v>9</v>
          </cell>
        </row>
        <row r="39">
          <cell r="A39">
            <v>10</v>
          </cell>
          <cell r="B39">
            <v>0</v>
          </cell>
          <cell r="C39">
            <v>10</v>
          </cell>
        </row>
        <row r="40">
          <cell r="A40">
            <v>11</v>
          </cell>
          <cell r="B40">
            <v>0</v>
          </cell>
          <cell r="C40">
            <v>11</v>
          </cell>
        </row>
        <row r="41">
          <cell r="A41">
            <v>12</v>
          </cell>
          <cell r="B41">
            <v>0</v>
          </cell>
          <cell r="C41">
            <v>12</v>
          </cell>
        </row>
        <row r="42">
          <cell r="A42">
            <v>13</v>
          </cell>
          <cell r="B42">
            <v>0</v>
          </cell>
          <cell r="C42">
            <v>13</v>
          </cell>
        </row>
      </sheetData>
      <sheetData sheetId="2">
        <row r="5">
          <cell r="A5">
            <v>1</v>
          </cell>
          <cell r="B5" t="str">
            <v>AAAAA BBBBB</v>
          </cell>
          <cell r="C5">
            <v>2</v>
          </cell>
          <cell r="D5">
            <v>2</v>
          </cell>
          <cell r="E5">
            <v>2</v>
          </cell>
          <cell r="F5">
            <v>2</v>
          </cell>
          <cell r="G5">
            <v>2</v>
          </cell>
          <cell r="H5">
            <v>2</v>
          </cell>
          <cell r="I5">
            <v>2</v>
          </cell>
          <cell r="J5">
            <v>2</v>
          </cell>
          <cell r="K5">
            <v>2</v>
          </cell>
          <cell r="L5">
            <v>2</v>
          </cell>
          <cell r="M5">
            <v>2</v>
          </cell>
          <cell r="N5">
            <v>2</v>
          </cell>
          <cell r="O5">
            <v>2</v>
          </cell>
          <cell r="P5">
            <v>2</v>
          </cell>
          <cell r="Q5">
            <v>100</v>
          </cell>
          <cell r="R5">
            <v>100</v>
          </cell>
          <cell r="S5">
            <v>100</v>
          </cell>
          <cell r="T5">
            <v>100</v>
          </cell>
          <cell r="U5">
            <v>100</v>
          </cell>
          <cell r="V5">
            <v>100</v>
          </cell>
          <cell r="W5">
            <v>100</v>
          </cell>
          <cell r="X5">
            <v>100</v>
          </cell>
          <cell r="Y5">
            <v>100</v>
          </cell>
          <cell r="Z5">
            <v>100</v>
          </cell>
          <cell r="AA5">
            <v>100</v>
          </cell>
          <cell r="AB5">
            <v>100</v>
          </cell>
          <cell r="AC5">
            <v>100</v>
          </cell>
          <cell r="AD5">
            <v>100</v>
          </cell>
        </row>
        <row r="6">
          <cell r="A6">
            <v>2</v>
          </cell>
          <cell r="B6">
            <v>0</v>
          </cell>
          <cell r="C6"/>
          <cell r="D6">
            <v>0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  <cell r="K6">
            <v>0</v>
          </cell>
          <cell r="L6">
            <v>0</v>
          </cell>
          <cell r="M6">
            <v>0</v>
          </cell>
          <cell r="N6">
            <v>0</v>
          </cell>
          <cell r="O6">
            <v>0</v>
          </cell>
          <cell r="P6">
            <v>0</v>
          </cell>
          <cell r="Q6"/>
          <cell r="R6">
            <v>0</v>
          </cell>
          <cell r="S6">
            <v>0</v>
          </cell>
          <cell r="T6">
            <v>0</v>
          </cell>
          <cell r="U6">
            <v>0</v>
          </cell>
          <cell r="V6">
            <v>0</v>
          </cell>
          <cell r="W6">
            <v>0</v>
          </cell>
          <cell r="X6">
            <v>0</v>
          </cell>
          <cell r="Y6">
            <v>0</v>
          </cell>
          <cell r="Z6">
            <v>0</v>
          </cell>
          <cell r="AA6">
            <v>0</v>
          </cell>
          <cell r="AB6">
            <v>0</v>
          </cell>
          <cell r="AC6">
            <v>0</v>
          </cell>
          <cell r="AD6">
            <v>0</v>
          </cell>
        </row>
        <row r="7">
          <cell r="A7">
            <v>3</v>
          </cell>
          <cell r="B7">
            <v>0</v>
          </cell>
          <cell r="C7"/>
          <cell r="D7">
            <v>0</v>
          </cell>
          <cell r="E7">
            <v>0</v>
          </cell>
          <cell r="F7">
            <v>0</v>
          </cell>
          <cell r="G7">
            <v>0</v>
          </cell>
          <cell r="H7">
            <v>0</v>
          </cell>
          <cell r="I7">
            <v>0</v>
          </cell>
          <cell r="J7">
            <v>0</v>
          </cell>
          <cell r="K7">
            <v>0</v>
          </cell>
          <cell r="L7">
            <v>0</v>
          </cell>
          <cell r="M7">
            <v>0</v>
          </cell>
          <cell r="N7">
            <v>0</v>
          </cell>
          <cell r="O7">
            <v>0</v>
          </cell>
          <cell r="P7">
            <v>0</v>
          </cell>
          <cell r="Q7"/>
          <cell r="R7">
            <v>0</v>
          </cell>
          <cell r="S7">
            <v>0</v>
          </cell>
          <cell r="T7">
            <v>0</v>
          </cell>
          <cell r="U7">
            <v>0</v>
          </cell>
          <cell r="V7">
            <v>0</v>
          </cell>
          <cell r="W7">
            <v>0</v>
          </cell>
          <cell r="X7">
            <v>0</v>
          </cell>
          <cell r="Y7">
            <v>0</v>
          </cell>
          <cell r="Z7">
            <v>0</v>
          </cell>
          <cell r="AA7">
            <v>0</v>
          </cell>
          <cell r="AB7">
            <v>0</v>
          </cell>
          <cell r="AC7">
            <v>0</v>
          </cell>
          <cell r="AD7">
            <v>0</v>
          </cell>
        </row>
        <row r="8">
          <cell r="A8">
            <v>4</v>
          </cell>
          <cell r="B8">
            <v>0</v>
          </cell>
          <cell r="C8"/>
          <cell r="D8">
            <v>0</v>
          </cell>
          <cell r="E8">
            <v>0</v>
          </cell>
          <cell r="F8">
            <v>0</v>
          </cell>
          <cell r="G8">
            <v>0</v>
          </cell>
          <cell r="H8">
            <v>0</v>
          </cell>
          <cell r="I8">
            <v>0</v>
          </cell>
          <cell r="J8">
            <v>0</v>
          </cell>
          <cell r="K8">
            <v>0</v>
          </cell>
          <cell r="L8">
            <v>0</v>
          </cell>
          <cell r="M8">
            <v>0</v>
          </cell>
          <cell r="N8">
            <v>0</v>
          </cell>
          <cell r="O8">
            <v>0</v>
          </cell>
          <cell r="P8">
            <v>0</v>
          </cell>
          <cell r="Q8"/>
          <cell r="R8">
            <v>0</v>
          </cell>
          <cell r="S8">
            <v>0</v>
          </cell>
          <cell r="T8">
            <v>0</v>
          </cell>
          <cell r="U8">
            <v>0</v>
          </cell>
          <cell r="V8">
            <v>0</v>
          </cell>
          <cell r="W8">
            <v>0</v>
          </cell>
          <cell r="X8">
            <v>0</v>
          </cell>
          <cell r="Y8">
            <v>0</v>
          </cell>
          <cell r="Z8">
            <v>0</v>
          </cell>
          <cell r="AA8">
            <v>0</v>
          </cell>
          <cell r="AB8">
            <v>0</v>
          </cell>
          <cell r="AC8">
            <v>0</v>
          </cell>
          <cell r="AD8">
            <v>0</v>
          </cell>
        </row>
        <row r="9">
          <cell r="A9">
            <v>5</v>
          </cell>
          <cell r="B9">
            <v>0</v>
          </cell>
          <cell r="C9"/>
          <cell r="D9">
            <v>0</v>
          </cell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  <cell r="K9">
            <v>0</v>
          </cell>
          <cell r="L9">
            <v>0</v>
          </cell>
          <cell r="M9">
            <v>0</v>
          </cell>
          <cell r="N9">
            <v>0</v>
          </cell>
          <cell r="O9">
            <v>0</v>
          </cell>
          <cell r="P9">
            <v>0</v>
          </cell>
          <cell r="Q9"/>
          <cell r="R9">
            <v>0</v>
          </cell>
          <cell r="S9">
            <v>0</v>
          </cell>
          <cell r="T9">
            <v>0</v>
          </cell>
          <cell r="U9">
            <v>0</v>
          </cell>
          <cell r="V9">
            <v>0</v>
          </cell>
          <cell r="W9">
            <v>0</v>
          </cell>
          <cell r="X9">
            <v>0</v>
          </cell>
          <cell r="Y9">
            <v>0</v>
          </cell>
          <cell r="Z9">
            <v>0</v>
          </cell>
          <cell r="AA9">
            <v>0</v>
          </cell>
          <cell r="AB9">
            <v>0</v>
          </cell>
          <cell r="AC9">
            <v>0</v>
          </cell>
          <cell r="AD9">
            <v>0</v>
          </cell>
        </row>
        <row r="10">
          <cell r="A10">
            <v>6</v>
          </cell>
          <cell r="B10">
            <v>0</v>
          </cell>
          <cell r="C10"/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  <cell r="K10">
            <v>0</v>
          </cell>
          <cell r="L10">
            <v>0</v>
          </cell>
          <cell r="M10">
            <v>0</v>
          </cell>
          <cell r="N10">
            <v>0</v>
          </cell>
          <cell r="O10">
            <v>0</v>
          </cell>
          <cell r="P10">
            <v>0</v>
          </cell>
          <cell r="Q10"/>
          <cell r="R10">
            <v>0</v>
          </cell>
          <cell r="S10">
            <v>0</v>
          </cell>
          <cell r="T10">
            <v>0</v>
          </cell>
          <cell r="U10">
            <v>0</v>
          </cell>
          <cell r="V10">
            <v>0</v>
          </cell>
          <cell r="W10">
            <v>0</v>
          </cell>
          <cell r="X10">
            <v>0</v>
          </cell>
          <cell r="Y10">
            <v>0</v>
          </cell>
          <cell r="Z10">
            <v>0</v>
          </cell>
          <cell r="AA10">
            <v>0</v>
          </cell>
          <cell r="AB10">
            <v>0</v>
          </cell>
          <cell r="AC10">
            <v>0</v>
          </cell>
          <cell r="AD10">
            <v>0</v>
          </cell>
        </row>
        <row r="11">
          <cell r="A11">
            <v>7</v>
          </cell>
          <cell r="B11">
            <v>0</v>
          </cell>
          <cell r="C11"/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  <cell r="K11">
            <v>0</v>
          </cell>
          <cell r="L11">
            <v>0</v>
          </cell>
          <cell r="M11">
            <v>0</v>
          </cell>
          <cell r="N11">
            <v>0</v>
          </cell>
          <cell r="O11">
            <v>0</v>
          </cell>
          <cell r="P11">
            <v>0</v>
          </cell>
          <cell r="Q11"/>
          <cell r="R11">
            <v>0</v>
          </cell>
          <cell r="S11">
            <v>0</v>
          </cell>
          <cell r="T11">
            <v>0</v>
          </cell>
          <cell r="U11">
            <v>0</v>
          </cell>
          <cell r="V11">
            <v>0</v>
          </cell>
          <cell r="W11">
            <v>0</v>
          </cell>
          <cell r="X11">
            <v>0</v>
          </cell>
          <cell r="Y11">
            <v>0</v>
          </cell>
          <cell r="Z11">
            <v>0</v>
          </cell>
          <cell r="AA11">
            <v>0</v>
          </cell>
          <cell r="AB11">
            <v>0</v>
          </cell>
          <cell r="AC11">
            <v>0</v>
          </cell>
          <cell r="AD11">
            <v>0</v>
          </cell>
        </row>
        <row r="12">
          <cell r="A12">
            <v>8</v>
          </cell>
          <cell r="B12">
            <v>0</v>
          </cell>
          <cell r="C12"/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/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0</v>
          </cell>
          <cell r="Y12">
            <v>0</v>
          </cell>
          <cell r="Z12">
            <v>0</v>
          </cell>
          <cell r="AA12">
            <v>0</v>
          </cell>
          <cell r="AB12">
            <v>0</v>
          </cell>
          <cell r="AC12">
            <v>0</v>
          </cell>
          <cell r="AD12">
            <v>0</v>
          </cell>
        </row>
        <row r="13">
          <cell r="A13">
            <v>9</v>
          </cell>
          <cell r="B13">
            <v>0</v>
          </cell>
          <cell r="C13"/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/>
          <cell r="R13">
            <v>0</v>
          </cell>
          <cell r="S13">
            <v>0</v>
          </cell>
          <cell r="T13">
            <v>0</v>
          </cell>
          <cell r="U13">
            <v>0</v>
          </cell>
          <cell r="V13">
            <v>0</v>
          </cell>
          <cell r="W13">
            <v>0</v>
          </cell>
          <cell r="X13">
            <v>0</v>
          </cell>
          <cell r="Y13">
            <v>0</v>
          </cell>
          <cell r="Z13">
            <v>0</v>
          </cell>
          <cell r="AA13">
            <v>0</v>
          </cell>
          <cell r="AB13">
            <v>0</v>
          </cell>
          <cell r="AC13">
            <v>0</v>
          </cell>
          <cell r="AD13">
            <v>0</v>
          </cell>
        </row>
        <row r="14">
          <cell r="A14">
            <v>10</v>
          </cell>
          <cell r="B14">
            <v>0</v>
          </cell>
          <cell r="C14"/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/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</row>
        <row r="15">
          <cell r="A15">
            <v>11</v>
          </cell>
          <cell r="B15">
            <v>0</v>
          </cell>
          <cell r="C15"/>
          <cell r="D15">
            <v>0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0</v>
          </cell>
          <cell r="P15">
            <v>0</v>
          </cell>
          <cell r="Q15"/>
          <cell r="R15">
            <v>0</v>
          </cell>
          <cell r="S15">
            <v>0</v>
          </cell>
          <cell r="T15">
            <v>0</v>
          </cell>
          <cell r="U15">
            <v>0</v>
          </cell>
          <cell r="V15">
            <v>0</v>
          </cell>
          <cell r="W15">
            <v>0</v>
          </cell>
          <cell r="X15">
            <v>0</v>
          </cell>
          <cell r="Y15">
            <v>0</v>
          </cell>
          <cell r="Z15">
            <v>0</v>
          </cell>
          <cell r="AA15">
            <v>0</v>
          </cell>
          <cell r="AB15">
            <v>0</v>
          </cell>
          <cell r="AC15">
            <v>0</v>
          </cell>
          <cell r="AD15">
            <v>0</v>
          </cell>
        </row>
        <row r="16">
          <cell r="A16">
            <v>12</v>
          </cell>
          <cell r="B16">
            <v>0</v>
          </cell>
          <cell r="C16"/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/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  <cell r="AD16">
            <v>0</v>
          </cell>
        </row>
        <row r="17">
          <cell r="A17">
            <v>13</v>
          </cell>
          <cell r="B17">
            <v>0</v>
          </cell>
          <cell r="C17"/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/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  <cell r="AD17">
            <v>0</v>
          </cell>
        </row>
        <row r="18">
          <cell r="A18">
            <v>14</v>
          </cell>
          <cell r="B18">
            <v>0</v>
          </cell>
          <cell r="C18"/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/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  <cell r="AD18">
            <v>0</v>
          </cell>
        </row>
        <row r="19">
          <cell r="A19">
            <v>15</v>
          </cell>
          <cell r="B19">
            <v>0</v>
          </cell>
          <cell r="C19"/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/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  <cell r="AD19">
            <v>0</v>
          </cell>
        </row>
        <row r="24">
          <cell r="A24">
            <v>1</v>
          </cell>
          <cell r="B24" t="str">
            <v>AAAAA BBBBB</v>
          </cell>
          <cell r="C24">
            <v>0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</row>
        <row r="25">
          <cell r="A25">
            <v>2</v>
          </cell>
          <cell r="B25">
            <v>0</v>
          </cell>
          <cell r="C25"/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</row>
        <row r="26">
          <cell r="A26">
            <v>3</v>
          </cell>
          <cell r="B26">
            <v>0</v>
          </cell>
          <cell r="C26"/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</row>
        <row r="27">
          <cell r="A27">
            <v>4</v>
          </cell>
          <cell r="B27">
            <v>0</v>
          </cell>
          <cell r="C27"/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</row>
        <row r="28">
          <cell r="A28">
            <v>5</v>
          </cell>
          <cell r="B28">
            <v>0</v>
          </cell>
          <cell r="C28"/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0</v>
          </cell>
          <cell r="P28">
            <v>0</v>
          </cell>
        </row>
        <row r="29">
          <cell r="A29">
            <v>6</v>
          </cell>
          <cell r="B29">
            <v>0</v>
          </cell>
          <cell r="C29"/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O29">
            <v>0</v>
          </cell>
          <cell r="P29">
            <v>0</v>
          </cell>
        </row>
        <row r="30">
          <cell r="A30">
            <v>7</v>
          </cell>
          <cell r="B30">
            <v>0</v>
          </cell>
          <cell r="C30"/>
          <cell r="D30">
            <v>0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P30">
            <v>0</v>
          </cell>
        </row>
        <row r="31">
          <cell r="A31">
            <v>8</v>
          </cell>
          <cell r="B31">
            <v>0</v>
          </cell>
          <cell r="C31"/>
          <cell r="D31">
            <v>0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</row>
        <row r="32">
          <cell r="A32">
            <v>9</v>
          </cell>
          <cell r="B32">
            <v>0</v>
          </cell>
          <cell r="C32"/>
          <cell r="D32">
            <v>0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  <cell r="N32">
            <v>0</v>
          </cell>
          <cell r="O32">
            <v>0</v>
          </cell>
          <cell r="P32">
            <v>0</v>
          </cell>
        </row>
        <row r="33">
          <cell r="A33">
            <v>10</v>
          </cell>
          <cell r="B33">
            <v>0</v>
          </cell>
          <cell r="C33"/>
          <cell r="D33">
            <v>0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  <cell r="O33">
            <v>0</v>
          </cell>
          <cell r="P33">
            <v>0</v>
          </cell>
        </row>
        <row r="34">
          <cell r="A34">
            <v>11</v>
          </cell>
          <cell r="B34">
            <v>0</v>
          </cell>
          <cell r="C34"/>
          <cell r="D34">
            <v>0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</row>
        <row r="35">
          <cell r="A35">
            <v>12</v>
          </cell>
          <cell r="B35">
            <v>0</v>
          </cell>
          <cell r="C35"/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  <cell r="O35">
            <v>0</v>
          </cell>
          <cell r="P35">
            <v>0</v>
          </cell>
        </row>
        <row r="36">
          <cell r="A36">
            <v>13</v>
          </cell>
          <cell r="B36">
            <v>0</v>
          </cell>
          <cell r="C36"/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  <cell r="N36">
            <v>0</v>
          </cell>
          <cell r="O36">
            <v>0</v>
          </cell>
          <cell r="P36">
            <v>0</v>
          </cell>
        </row>
        <row r="37">
          <cell r="A37">
            <v>14</v>
          </cell>
          <cell r="B37">
            <v>0</v>
          </cell>
          <cell r="C37"/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  <cell r="N37">
            <v>0</v>
          </cell>
          <cell r="O37">
            <v>0</v>
          </cell>
          <cell r="P37">
            <v>0</v>
          </cell>
        </row>
        <row r="38">
          <cell r="A38">
            <v>15</v>
          </cell>
          <cell r="B38">
            <v>0</v>
          </cell>
          <cell r="C38"/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  <cell r="N38">
            <v>0</v>
          </cell>
          <cell r="O38">
            <v>0</v>
          </cell>
          <cell r="P38">
            <v>0</v>
          </cell>
        </row>
        <row r="46">
          <cell r="A46">
            <v>1</v>
          </cell>
          <cell r="B46" t="str">
            <v>AAAAA BBBBB</v>
          </cell>
          <cell r="C46">
            <v>0</v>
          </cell>
          <cell r="D46">
            <v>0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/>
          <cell r="J46">
            <v>0</v>
          </cell>
          <cell r="K46">
            <v>0</v>
          </cell>
          <cell r="L46">
            <v>0</v>
          </cell>
          <cell r="M46">
            <v>0</v>
          </cell>
          <cell r="N46">
            <v>0</v>
          </cell>
          <cell r="O46"/>
          <cell r="P46">
            <v>0</v>
          </cell>
          <cell r="Q46">
            <v>0</v>
          </cell>
          <cell r="R46">
            <v>0</v>
          </cell>
          <cell r="S46">
            <v>0</v>
          </cell>
          <cell r="T46">
            <v>0</v>
          </cell>
          <cell r="U46">
            <v>0</v>
          </cell>
          <cell r="V46">
            <v>0</v>
          </cell>
          <cell r="W46">
            <v>0</v>
          </cell>
          <cell r="X46">
            <v>0</v>
          </cell>
          <cell r="Y46">
            <v>0</v>
          </cell>
          <cell r="Z46">
            <v>0</v>
          </cell>
          <cell r="AA46">
            <v>0</v>
          </cell>
          <cell r="AB46">
            <v>0</v>
          </cell>
          <cell r="AC46">
            <v>0</v>
          </cell>
          <cell r="AD46">
            <v>0</v>
          </cell>
        </row>
        <row r="47">
          <cell r="A47">
            <v>2</v>
          </cell>
          <cell r="B47">
            <v>0</v>
          </cell>
          <cell r="C47"/>
          <cell r="D47">
            <v>0</v>
          </cell>
          <cell r="E47">
            <v>0</v>
          </cell>
          <cell r="F47">
            <v>0</v>
          </cell>
          <cell r="G47">
            <v>0</v>
          </cell>
          <cell r="H47">
            <v>0</v>
          </cell>
          <cell r="I47"/>
          <cell r="J47">
            <v>0</v>
          </cell>
          <cell r="K47">
            <v>0</v>
          </cell>
          <cell r="L47">
            <v>0</v>
          </cell>
          <cell r="M47">
            <v>0</v>
          </cell>
          <cell r="N47">
            <v>0</v>
          </cell>
          <cell r="O47"/>
          <cell r="P47">
            <v>0</v>
          </cell>
          <cell r="Q47"/>
          <cell r="R47">
            <v>0</v>
          </cell>
          <cell r="S47">
            <v>0</v>
          </cell>
          <cell r="T47">
            <v>0</v>
          </cell>
          <cell r="U47">
            <v>0</v>
          </cell>
          <cell r="V47">
            <v>0</v>
          </cell>
          <cell r="W47">
            <v>0</v>
          </cell>
          <cell r="X47">
            <v>0</v>
          </cell>
          <cell r="Y47">
            <v>0</v>
          </cell>
          <cell r="Z47">
            <v>0</v>
          </cell>
          <cell r="AA47">
            <v>0</v>
          </cell>
          <cell r="AB47">
            <v>0</v>
          </cell>
          <cell r="AC47">
            <v>0</v>
          </cell>
          <cell r="AD47">
            <v>0</v>
          </cell>
        </row>
        <row r="48">
          <cell r="A48">
            <v>3</v>
          </cell>
          <cell r="B48">
            <v>0</v>
          </cell>
          <cell r="C48"/>
          <cell r="D48">
            <v>0</v>
          </cell>
          <cell r="E48">
            <v>0</v>
          </cell>
          <cell r="F48">
            <v>0</v>
          </cell>
          <cell r="G48">
            <v>0</v>
          </cell>
          <cell r="H48">
            <v>0</v>
          </cell>
          <cell r="I48"/>
          <cell r="J48">
            <v>0</v>
          </cell>
          <cell r="K48">
            <v>0</v>
          </cell>
          <cell r="L48">
            <v>0</v>
          </cell>
          <cell r="M48">
            <v>0</v>
          </cell>
          <cell r="N48">
            <v>0</v>
          </cell>
          <cell r="O48"/>
          <cell r="P48">
            <v>0</v>
          </cell>
          <cell r="Q48">
            <v>0</v>
          </cell>
          <cell r="R48">
            <v>0</v>
          </cell>
          <cell r="S48">
            <v>0</v>
          </cell>
          <cell r="T48">
            <v>0</v>
          </cell>
          <cell r="U48">
            <v>0</v>
          </cell>
          <cell r="V48">
            <v>0</v>
          </cell>
          <cell r="W48">
            <v>0</v>
          </cell>
          <cell r="X48">
            <v>0</v>
          </cell>
          <cell r="Y48">
            <v>0</v>
          </cell>
          <cell r="Z48">
            <v>0</v>
          </cell>
          <cell r="AA48">
            <v>0</v>
          </cell>
          <cell r="AB48">
            <v>0</v>
          </cell>
          <cell r="AC48">
            <v>0</v>
          </cell>
          <cell r="AD48">
            <v>0</v>
          </cell>
        </row>
        <row r="49">
          <cell r="A49">
            <v>4</v>
          </cell>
          <cell r="B49">
            <v>0</v>
          </cell>
          <cell r="C49"/>
          <cell r="D49">
            <v>0</v>
          </cell>
          <cell r="E49">
            <v>0</v>
          </cell>
          <cell r="F49">
            <v>0</v>
          </cell>
          <cell r="G49">
            <v>0</v>
          </cell>
          <cell r="H49">
            <v>0</v>
          </cell>
          <cell r="I49"/>
          <cell r="J49">
            <v>0</v>
          </cell>
          <cell r="K49">
            <v>0</v>
          </cell>
          <cell r="L49">
            <v>0</v>
          </cell>
          <cell r="M49">
            <v>0</v>
          </cell>
          <cell r="N49">
            <v>0</v>
          </cell>
          <cell r="O49"/>
          <cell r="P49">
            <v>0</v>
          </cell>
          <cell r="Q49"/>
          <cell r="R49">
            <v>0</v>
          </cell>
          <cell r="S49">
            <v>0</v>
          </cell>
          <cell r="T49">
            <v>0</v>
          </cell>
          <cell r="U49">
            <v>0</v>
          </cell>
          <cell r="V49">
            <v>0</v>
          </cell>
          <cell r="W49">
            <v>0</v>
          </cell>
          <cell r="X49">
            <v>0</v>
          </cell>
          <cell r="Y49">
            <v>0</v>
          </cell>
          <cell r="Z49">
            <v>0</v>
          </cell>
          <cell r="AA49">
            <v>0</v>
          </cell>
          <cell r="AB49">
            <v>0</v>
          </cell>
          <cell r="AC49">
            <v>0</v>
          </cell>
          <cell r="AD49">
            <v>0</v>
          </cell>
        </row>
        <row r="50">
          <cell r="A50">
            <v>5</v>
          </cell>
          <cell r="B50">
            <v>0</v>
          </cell>
          <cell r="C50"/>
          <cell r="D50">
            <v>0</v>
          </cell>
          <cell r="E50">
            <v>0</v>
          </cell>
          <cell r="F50">
            <v>0</v>
          </cell>
          <cell r="G50">
            <v>0</v>
          </cell>
          <cell r="H50">
            <v>0</v>
          </cell>
          <cell r="I50"/>
          <cell r="J50">
            <v>0</v>
          </cell>
          <cell r="K50">
            <v>0</v>
          </cell>
          <cell r="L50">
            <v>0</v>
          </cell>
          <cell r="M50">
            <v>0</v>
          </cell>
          <cell r="N50">
            <v>0</v>
          </cell>
          <cell r="O50"/>
          <cell r="P50">
            <v>0</v>
          </cell>
          <cell r="Q50"/>
          <cell r="R50">
            <v>0</v>
          </cell>
          <cell r="S50">
            <v>0</v>
          </cell>
          <cell r="T50">
            <v>0</v>
          </cell>
          <cell r="U50">
            <v>0</v>
          </cell>
          <cell r="V50">
            <v>0</v>
          </cell>
          <cell r="W50">
            <v>0</v>
          </cell>
          <cell r="X50">
            <v>0</v>
          </cell>
          <cell r="Y50">
            <v>0</v>
          </cell>
          <cell r="Z50">
            <v>0</v>
          </cell>
          <cell r="AA50">
            <v>0</v>
          </cell>
          <cell r="AB50">
            <v>0</v>
          </cell>
          <cell r="AC50">
            <v>0</v>
          </cell>
          <cell r="AD50">
            <v>0</v>
          </cell>
        </row>
        <row r="51">
          <cell r="A51">
            <v>6</v>
          </cell>
          <cell r="B51">
            <v>0</v>
          </cell>
          <cell r="C51"/>
          <cell r="D51">
            <v>0</v>
          </cell>
          <cell r="E51">
            <v>0</v>
          </cell>
          <cell r="F51">
            <v>0</v>
          </cell>
          <cell r="G51">
            <v>0</v>
          </cell>
          <cell r="H51">
            <v>0</v>
          </cell>
          <cell r="I51"/>
          <cell r="J51">
            <v>0</v>
          </cell>
          <cell r="K51">
            <v>0</v>
          </cell>
          <cell r="L51">
            <v>0</v>
          </cell>
          <cell r="M51">
            <v>0</v>
          </cell>
          <cell r="N51">
            <v>0</v>
          </cell>
          <cell r="O51"/>
          <cell r="P51">
            <v>0</v>
          </cell>
          <cell r="Q51"/>
          <cell r="R51">
            <v>0</v>
          </cell>
          <cell r="S51">
            <v>0</v>
          </cell>
          <cell r="T51">
            <v>0</v>
          </cell>
          <cell r="U51">
            <v>0</v>
          </cell>
          <cell r="V51">
            <v>0</v>
          </cell>
          <cell r="W51">
            <v>0</v>
          </cell>
          <cell r="X51">
            <v>0</v>
          </cell>
          <cell r="Y51">
            <v>0</v>
          </cell>
          <cell r="Z51">
            <v>0</v>
          </cell>
          <cell r="AA51">
            <v>0</v>
          </cell>
          <cell r="AB51">
            <v>0</v>
          </cell>
          <cell r="AC51">
            <v>0</v>
          </cell>
          <cell r="AD51">
            <v>0</v>
          </cell>
        </row>
        <row r="52">
          <cell r="A52">
            <v>7</v>
          </cell>
          <cell r="B52">
            <v>0</v>
          </cell>
          <cell r="C52"/>
          <cell r="D52">
            <v>0</v>
          </cell>
          <cell r="E52">
            <v>0</v>
          </cell>
          <cell r="F52">
            <v>0</v>
          </cell>
          <cell r="G52">
            <v>0</v>
          </cell>
          <cell r="H52">
            <v>0</v>
          </cell>
          <cell r="I52"/>
          <cell r="J52">
            <v>0</v>
          </cell>
          <cell r="K52">
            <v>0</v>
          </cell>
          <cell r="L52">
            <v>0</v>
          </cell>
          <cell r="M52">
            <v>0</v>
          </cell>
          <cell r="N52">
            <v>0</v>
          </cell>
          <cell r="O52"/>
          <cell r="P52">
            <v>0</v>
          </cell>
          <cell r="Q52"/>
          <cell r="R52">
            <v>0</v>
          </cell>
          <cell r="S52">
            <v>0</v>
          </cell>
          <cell r="T52">
            <v>0</v>
          </cell>
          <cell r="U52">
            <v>0</v>
          </cell>
          <cell r="V52">
            <v>0</v>
          </cell>
          <cell r="W52">
            <v>0</v>
          </cell>
          <cell r="X52">
            <v>0</v>
          </cell>
          <cell r="Y52">
            <v>0</v>
          </cell>
          <cell r="Z52">
            <v>0</v>
          </cell>
          <cell r="AA52">
            <v>0</v>
          </cell>
          <cell r="AB52">
            <v>0</v>
          </cell>
          <cell r="AC52">
            <v>0</v>
          </cell>
          <cell r="AD52">
            <v>0</v>
          </cell>
        </row>
        <row r="53">
          <cell r="A53">
            <v>8</v>
          </cell>
          <cell r="B53">
            <v>0</v>
          </cell>
          <cell r="C53"/>
          <cell r="D53">
            <v>0</v>
          </cell>
          <cell r="E53">
            <v>0</v>
          </cell>
          <cell r="F53">
            <v>0</v>
          </cell>
          <cell r="G53">
            <v>0</v>
          </cell>
          <cell r="H53">
            <v>0</v>
          </cell>
          <cell r="I53"/>
          <cell r="J53">
            <v>0</v>
          </cell>
          <cell r="K53">
            <v>0</v>
          </cell>
          <cell r="L53">
            <v>0</v>
          </cell>
          <cell r="M53">
            <v>0</v>
          </cell>
          <cell r="N53">
            <v>0</v>
          </cell>
          <cell r="O53"/>
          <cell r="P53">
            <v>0</v>
          </cell>
          <cell r="Q53"/>
          <cell r="R53">
            <v>0</v>
          </cell>
          <cell r="S53">
            <v>0</v>
          </cell>
          <cell r="T53">
            <v>0</v>
          </cell>
          <cell r="U53">
            <v>0</v>
          </cell>
          <cell r="V53">
            <v>0</v>
          </cell>
          <cell r="W53">
            <v>0</v>
          </cell>
          <cell r="X53">
            <v>0</v>
          </cell>
          <cell r="Y53">
            <v>0</v>
          </cell>
          <cell r="Z53">
            <v>0</v>
          </cell>
          <cell r="AA53">
            <v>0</v>
          </cell>
          <cell r="AB53">
            <v>0</v>
          </cell>
          <cell r="AC53">
            <v>0</v>
          </cell>
          <cell r="AD53">
            <v>0</v>
          </cell>
        </row>
        <row r="54">
          <cell r="A54">
            <v>9</v>
          </cell>
          <cell r="B54">
            <v>0</v>
          </cell>
          <cell r="C54"/>
          <cell r="D54">
            <v>0</v>
          </cell>
          <cell r="E54">
            <v>0</v>
          </cell>
          <cell r="F54">
            <v>0</v>
          </cell>
          <cell r="G54">
            <v>0</v>
          </cell>
          <cell r="H54">
            <v>0</v>
          </cell>
          <cell r="I54"/>
          <cell r="J54">
            <v>0</v>
          </cell>
          <cell r="K54">
            <v>0</v>
          </cell>
          <cell r="L54">
            <v>0</v>
          </cell>
          <cell r="M54">
            <v>0</v>
          </cell>
          <cell r="N54">
            <v>0</v>
          </cell>
          <cell r="O54"/>
          <cell r="P54">
            <v>0</v>
          </cell>
          <cell r="Q54"/>
          <cell r="R54">
            <v>0</v>
          </cell>
          <cell r="S54">
            <v>0</v>
          </cell>
          <cell r="T54">
            <v>0</v>
          </cell>
          <cell r="U54">
            <v>0</v>
          </cell>
          <cell r="V54">
            <v>0</v>
          </cell>
          <cell r="W54">
            <v>0</v>
          </cell>
          <cell r="X54">
            <v>0</v>
          </cell>
          <cell r="Y54">
            <v>0</v>
          </cell>
          <cell r="Z54">
            <v>0</v>
          </cell>
          <cell r="AA54">
            <v>0</v>
          </cell>
          <cell r="AB54">
            <v>0</v>
          </cell>
          <cell r="AC54">
            <v>0</v>
          </cell>
          <cell r="AD54">
            <v>0</v>
          </cell>
        </row>
        <row r="55">
          <cell r="A55">
            <v>10</v>
          </cell>
          <cell r="B55">
            <v>0</v>
          </cell>
          <cell r="C55"/>
          <cell r="D55">
            <v>0</v>
          </cell>
          <cell r="E55">
            <v>0</v>
          </cell>
          <cell r="F55">
            <v>0</v>
          </cell>
          <cell r="G55">
            <v>0</v>
          </cell>
          <cell r="H55">
            <v>0</v>
          </cell>
          <cell r="I55"/>
          <cell r="J55">
            <v>0</v>
          </cell>
          <cell r="K55">
            <v>0</v>
          </cell>
          <cell r="L55">
            <v>0</v>
          </cell>
          <cell r="M55">
            <v>0</v>
          </cell>
          <cell r="N55">
            <v>0</v>
          </cell>
          <cell r="O55"/>
          <cell r="P55">
            <v>0</v>
          </cell>
          <cell r="Q55"/>
          <cell r="R55">
            <v>0</v>
          </cell>
          <cell r="S55">
            <v>0</v>
          </cell>
          <cell r="T55">
            <v>0</v>
          </cell>
          <cell r="U55">
            <v>0</v>
          </cell>
          <cell r="V55">
            <v>0</v>
          </cell>
          <cell r="W55">
            <v>0</v>
          </cell>
          <cell r="X55">
            <v>0</v>
          </cell>
          <cell r="Y55">
            <v>0</v>
          </cell>
          <cell r="Z55">
            <v>0</v>
          </cell>
          <cell r="AA55">
            <v>0</v>
          </cell>
          <cell r="AB55">
            <v>0</v>
          </cell>
          <cell r="AC55">
            <v>0</v>
          </cell>
          <cell r="AD55">
            <v>0</v>
          </cell>
        </row>
        <row r="56">
          <cell r="A56">
            <v>11</v>
          </cell>
          <cell r="B56">
            <v>0</v>
          </cell>
          <cell r="C56"/>
          <cell r="D56">
            <v>0</v>
          </cell>
          <cell r="E56">
            <v>0</v>
          </cell>
          <cell r="F56">
            <v>0</v>
          </cell>
          <cell r="G56">
            <v>0</v>
          </cell>
          <cell r="H56">
            <v>0</v>
          </cell>
          <cell r="I56"/>
          <cell r="J56">
            <v>0</v>
          </cell>
          <cell r="K56">
            <v>0</v>
          </cell>
          <cell r="L56">
            <v>0</v>
          </cell>
          <cell r="M56">
            <v>0</v>
          </cell>
          <cell r="N56">
            <v>0</v>
          </cell>
          <cell r="O56"/>
          <cell r="P56">
            <v>0</v>
          </cell>
          <cell r="Q56"/>
          <cell r="R56">
            <v>0</v>
          </cell>
          <cell r="S56">
            <v>0</v>
          </cell>
          <cell r="T56">
            <v>0</v>
          </cell>
          <cell r="U56">
            <v>0</v>
          </cell>
          <cell r="V56">
            <v>0</v>
          </cell>
          <cell r="W56">
            <v>0</v>
          </cell>
          <cell r="X56">
            <v>0</v>
          </cell>
          <cell r="Y56">
            <v>0</v>
          </cell>
          <cell r="Z56">
            <v>0</v>
          </cell>
          <cell r="AA56">
            <v>0</v>
          </cell>
          <cell r="AB56">
            <v>0</v>
          </cell>
          <cell r="AC56">
            <v>0</v>
          </cell>
          <cell r="AD56">
            <v>0</v>
          </cell>
        </row>
        <row r="57">
          <cell r="A57">
            <v>12</v>
          </cell>
          <cell r="B57">
            <v>0</v>
          </cell>
          <cell r="C57"/>
          <cell r="D57">
            <v>0</v>
          </cell>
          <cell r="E57">
            <v>0</v>
          </cell>
          <cell r="F57">
            <v>0</v>
          </cell>
          <cell r="G57">
            <v>0</v>
          </cell>
          <cell r="H57">
            <v>0</v>
          </cell>
          <cell r="I57"/>
          <cell r="J57">
            <v>0</v>
          </cell>
          <cell r="K57">
            <v>0</v>
          </cell>
          <cell r="L57">
            <v>0</v>
          </cell>
          <cell r="M57">
            <v>0</v>
          </cell>
          <cell r="N57">
            <v>0</v>
          </cell>
          <cell r="O57"/>
          <cell r="P57">
            <v>0</v>
          </cell>
          <cell r="Q57"/>
          <cell r="R57">
            <v>0</v>
          </cell>
          <cell r="S57">
            <v>0</v>
          </cell>
          <cell r="T57">
            <v>0</v>
          </cell>
          <cell r="U57">
            <v>0</v>
          </cell>
          <cell r="V57">
            <v>0</v>
          </cell>
          <cell r="W57">
            <v>0</v>
          </cell>
          <cell r="X57">
            <v>0</v>
          </cell>
          <cell r="Y57">
            <v>0</v>
          </cell>
          <cell r="Z57">
            <v>0</v>
          </cell>
          <cell r="AA57">
            <v>0</v>
          </cell>
          <cell r="AB57">
            <v>0</v>
          </cell>
          <cell r="AC57">
            <v>0</v>
          </cell>
          <cell r="AD57">
            <v>0</v>
          </cell>
        </row>
        <row r="58">
          <cell r="A58">
            <v>13</v>
          </cell>
          <cell r="B58">
            <v>0</v>
          </cell>
          <cell r="C58"/>
          <cell r="D58">
            <v>0</v>
          </cell>
          <cell r="E58">
            <v>0</v>
          </cell>
          <cell r="F58">
            <v>0</v>
          </cell>
          <cell r="G58">
            <v>0</v>
          </cell>
          <cell r="H58">
            <v>0</v>
          </cell>
          <cell r="I58"/>
          <cell r="J58">
            <v>0</v>
          </cell>
          <cell r="K58">
            <v>0</v>
          </cell>
          <cell r="L58">
            <v>0</v>
          </cell>
          <cell r="M58">
            <v>0</v>
          </cell>
          <cell r="N58">
            <v>0</v>
          </cell>
          <cell r="O58"/>
          <cell r="P58">
            <v>0</v>
          </cell>
          <cell r="Q58"/>
          <cell r="R58">
            <v>0</v>
          </cell>
          <cell r="S58">
            <v>0</v>
          </cell>
          <cell r="T58">
            <v>0</v>
          </cell>
          <cell r="U58">
            <v>0</v>
          </cell>
          <cell r="V58">
            <v>0</v>
          </cell>
          <cell r="W58">
            <v>0</v>
          </cell>
          <cell r="X58">
            <v>0</v>
          </cell>
          <cell r="Y58">
            <v>0</v>
          </cell>
          <cell r="Z58">
            <v>0</v>
          </cell>
          <cell r="AA58">
            <v>0</v>
          </cell>
          <cell r="AB58">
            <v>0</v>
          </cell>
          <cell r="AC58">
            <v>0</v>
          </cell>
          <cell r="AD58">
            <v>0</v>
          </cell>
        </row>
        <row r="59">
          <cell r="A59">
            <v>14</v>
          </cell>
          <cell r="B59">
            <v>0</v>
          </cell>
          <cell r="C59"/>
          <cell r="D59">
            <v>0</v>
          </cell>
          <cell r="E59">
            <v>0</v>
          </cell>
          <cell r="F59">
            <v>0</v>
          </cell>
          <cell r="G59">
            <v>0</v>
          </cell>
          <cell r="H59">
            <v>0</v>
          </cell>
          <cell r="I59"/>
          <cell r="J59">
            <v>0</v>
          </cell>
          <cell r="K59">
            <v>0</v>
          </cell>
          <cell r="L59">
            <v>0</v>
          </cell>
          <cell r="M59">
            <v>0</v>
          </cell>
          <cell r="N59">
            <v>0</v>
          </cell>
          <cell r="O59"/>
          <cell r="P59">
            <v>0</v>
          </cell>
          <cell r="Q59"/>
          <cell r="R59">
            <v>0</v>
          </cell>
          <cell r="S59">
            <v>0</v>
          </cell>
          <cell r="T59">
            <v>0</v>
          </cell>
          <cell r="U59">
            <v>0</v>
          </cell>
          <cell r="V59">
            <v>0</v>
          </cell>
          <cell r="W59">
            <v>0</v>
          </cell>
          <cell r="X59">
            <v>0</v>
          </cell>
          <cell r="Y59">
            <v>0</v>
          </cell>
          <cell r="Z59">
            <v>0</v>
          </cell>
          <cell r="AA59">
            <v>0</v>
          </cell>
          <cell r="AB59">
            <v>0</v>
          </cell>
          <cell r="AC59">
            <v>0</v>
          </cell>
          <cell r="AD59">
            <v>0</v>
          </cell>
        </row>
        <row r="60">
          <cell r="A60">
            <v>15</v>
          </cell>
          <cell r="B60">
            <v>0</v>
          </cell>
          <cell r="C60"/>
          <cell r="D60">
            <v>0</v>
          </cell>
          <cell r="E60">
            <v>0</v>
          </cell>
          <cell r="F60">
            <v>0</v>
          </cell>
          <cell r="G60">
            <v>0</v>
          </cell>
          <cell r="H60">
            <v>0</v>
          </cell>
          <cell r="I60"/>
          <cell r="J60">
            <v>0</v>
          </cell>
          <cell r="K60">
            <v>0</v>
          </cell>
          <cell r="L60">
            <v>0</v>
          </cell>
          <cell r="M60">
            <v>0</v>
          </cell>
          <cell r="N60">
            <v>0</v>
          </cell>
          <cell r="O60"/>
          <cell r="P60">
            <v>0</v>
          </cell>
          <cell r="Q60"/>
          <cell r="R60">
            <v>0</v>
          </cell>
          <cell r="S60">
            <v>0</v>
          </cell>
          <cell r="T60">
            <v>0</v>
          </cell>
          <cell r="U60">
            <v>0</v>
          </cell>
          <cell r="V60">
            <v>0</v>
          </cell>
          <cell r="W60">
            <v>0</v>
          </cell>
          <cell r="X60">
            <v>0</v>
          </cell>
          <cell r="Y60">
            <v>0</v>
          </cell>
          <cell r="Z60">
            <v>0</v>
          </cell>
          <cell r="AA60">
            <v>0</v>
          </cell>
          <cell r="AB60">
            <v>0</v>
          </cell>
          <cell r="AC60">
            <v>0</v>
          </cell>
          <cell r="AD60">
            <v>0</v>
          </cell>
        </row>
        <row r="65">
          <cell r="A65">
            <v>1</v>
          </cell>
          <cell r="B65" t="str">
            <v>AAAAA BBBBB</v>
          </cell>
          <cell r="C65">
            <v>0</v>
          </cell>
          <cell r="D65">
            <v>0</v>
          </cell>
          <cell r="E65">
            <v>0</v>
          </cell>
          <cell r="F65">
            <v>0</v>
          </cell>
          <cell r="G65">
            <v>0</v>
          </cell>
          <cell r="H65">
            <v>0</v>
          </cell>
          <cell r="I65"/>
          <cell r="J65">
            <v>0</v>
          </cell>
          <cell r="K65">
            <v>0</v>
          </cell>
          <cell r="L65">
            <v>0</v>
          </cell>
          <cell r="M65">
            <v>0</v>
          </cell>
          <cell r="N65">
            <v>0</v>
          </cell>
          <cell r="O65"/>
          <cell r="P65"/>
          <cell r="Q65">
            <v>0</v>
          </cell>
          <cell r="R65">
            <v>0</v>
          </cell>
          <cell r="S65">
            <v>0</v>
          </cell>
          <cell r="T65">
            <v>0</v>
          </cell>
          <cell r="U65">
            <v>0</v>
          </cell>
          <cell r="V65">
            <v>0</v>
          </cell>
          <cell r="W65"/>
          <cell r="X65">
            <v>0</v>
          </cell>
          <cell r="Y65">
            <v>0</v>
          </cell>
          <cell r="Z65">
            <v>0</v>
          </cell>
          <cell r="AA65">
            <v>0</v>
          </cell>
          <cell r="AB65">
            <v>0</v>
          </cell>
          <cell r="AC65"/>
          <cell r="AD65"/>
        </row>
        <row r="66">
          <cell r="A66">
            <v>2</v>
          </cell>
          <cell r="B66">
            <v>0</v>
          </cell>
          <cell r="C66"/>
          <cell r="D66">
            <v>0</v>
          </cell>
          <cell r="E66">
            <v>0</v>
          </cell>
          <cell r="F66">
            <v>0</v>
          </cell>
          <cell r="G66">
            <v>0</v>
          </cell>
          <cell r="H66">
            <v>0</v>
          </cell>
          <cell r="I66"/>
          <cell r="J66">
            <v>0</v>
          </cell>
          <cell r="K66">
            <v>0</v>
          </cell>
          <cell r="L66">
            <v>0</v>
          </cell>
          <cell r="M66">
            <v>0</v>
          </cell>
          <cell r="N66">
            <v>0</v>
          </cell>
          <cell r="O66"/>
          <cell r="P66"/>
          <cell r="Q66"/>
          <cell r="R66">
            <v>0</v>
          </cell>
          <cell r="S66">
            <v>0</v>
          </cell>
          <cell r="T66">
            <v>0</v>
          </cell>
          <cell r="U66">
            <v>0</v>
          </cell>
          <cell r="V66">
            <v>0</v>
          </cell>
          <cell r="W66"/>
          <cell r="X66">
            <v>0</v>
          </cell>
          <cell r="Y66">
            <v>0</v>
          </cell>
          <cell r="Z66">
            <v>0</v>
          </cell>
          <cell r="AA66">
            <v>0</v>
          </cell>
          <cell r="AB66">
            <v>0</v>
          </cell>
          <cell r="AC66"/>
          <cell r="AD66"/>
        </row>
        <row r="67">
          <cell r="A67">
            <v>3</v>
          </cell>
          <cell r="B67">
            <v>0</v>
          </cell>
          <cell r="C67"/>
          <cell r="D67">
            <v>0</v>
          </cell>
          <cell r="E67">
            <v>0</v>
          </cell>
          <cell r="F67">
            <v>0</v>
          </cell>
          <cell r="G67">
            <v>0</v>
          </cell>
          <cell r="H67">
            <v>0</v>
          </cell>
          <cell r="I67"/>
          <cell r="J67">
            <v>0</v>
          </cell>
          <cell r="K67">
            <v>0</v>
          </cell>
          <cell r="L67">
            <v>0</v>
          </cell>
          <cell r="M67">
            <v>0</v>
          </cell>
          <cell r="N67">
            <v>0</v>
          </cell>
          <cell r="O67"/>
          <cell r="P67"/>
          <cell r="Q67"/>
          <cell r="R67">
            <v>0</v>
          </cell>
          <cell r="S67">
            <v>0</v>
          </cell>
          <cell r="T67">
            <v>0</v>
          </cell>
          <cell r="U67">
            <v>0</v>
          </cell>
          <cell r="V67">
            <v>0</v>
          </cell>
          <cell r="W67"/>
          <cell r="X67">
            <v>0</v>
          </cell>
          <cell r="Y67">
            <v>0</v>
          </cell>
          <cell r="Z67">
            <v>0</v>
          </cell>
          <cell r="AA67">
            <v>0</v>
          </cell>
          <cell r="AB67">
            <v>0</v>
          </cell>
          <cell r="AC67">
            <v>0</v>
          </cell>
          <cell r="AD67"/>
        </row>
        <row r="68">
          <cell r="A68">
            <v>4</v>
          </cell>
          <cell r="B68">
            <v>0</v>
          </cell>
          <cell r="C68"/>
          <cell r="D68">
            <v>0</v>
          </cell>
          <cell r="E68">
            <v>0</v>
          </cell>
          <cell r="F68">
            <v>0</v>
          </cell>
          <cell r="G68">
            <v>0</v>
          </cell>
          <cell r="H68">
            <v>0</v>
          </cell>
          <cell r="I68"/>
          <cell r="J68">
            <v>0</v>
          </cell>
          <cell r="K68">
            <v>0</v>
          </cell>
          <cell r="L68">
            <v>0</v>
          </cell>
          <cell r="M68">
            <v>0</v>
          </cell>
          <cell r="N68">
            <v>0</v>
          </cell>
          <cell r="O68"/>
          <cell r="P68"/>
          <cell r="Q68"/>
          <cell r="R68">
            <v>0</v>
          </cell>
          <cell r="S68">
            <v>0</v>
          </cell>
          <cell r="T68">
            <v>0</v>
          </cell>
          <cell r="U68">
            <v>0</v>
          </cell>
          <cell r="V68">
            <v>0</v>
          </cell>
          <cell r="W68"/>
          <cell r="X68">
            <v>0</v>
          </cell>
          <cell r="Y68">
            <v>0</v>
          </cell>
          <cell r="Z68">
            <v>0</v>
          </cell>
          <cell r="AA68">
            <v>0</v>
          </cell>
          <cell r="AB68">
            <v>0</v>
          </cell>
          <cell r="AC68">
            <v>0</v>
          </cell>
          <cell r="AD68"/>
        </row>
        <row r="69">
          <cell r="A69">
            <v>5</v>
          </cell>
          <cell r="B69">
            <v>0</v>
          </cell>
          <cell r="C69"/>
          <cell r="D69">
            <v>0</v>
          </cell>
          <cell r="E69">
            <v>0</v>
          </cell>
          <cell r="F69">
            <v>0</v>
          </cell>
          <cell r="G69">
            <v>0</v>
          </cell>
          <cell r="H69">
            <v>0</v>
          </cell>
          <cell r="I69"/>
          <cell r="J69">
            <v>0</v>
          </cell>
          <cell r="K69">
            <v>0</v>
          </cell>
          <cell r="L69">
            <v>0</v>
          </cell>
          <cell r="M69">
            <v>0</v>
          </cell>
          <cell r="N69">
            <v>0</v>
          </cell>
          <cell r="O69"/>
          <cell r="P69"/>
          <cell r="Q69"/>
          <cell r="R69">
            <v>0</v>
          </cell>
          <cell r="S69">
            <v>0</v>
          </cell>
          <cell r="T69">
            <v>0</v>
          </cell>
          <cell r="U69">
            <v>0</v>
          </cell>
          <cell r="V69">
            <v>0</v>
          </cell>
          <cell r="W69"/>
          <cell r="X69">
            <v>0</v>
          </cell>
          <cell r="Y69">
            <v>0</v>
          </cell>
          <cell r="Z69">
            <v>0</v>
          </cell>
          <cell r="AA69">
            <v>0</v>
          </cell>
          <cell r="AB69">
            <v>0</v>
          </cell>
          <cell r="AC69">
            <v>0</v>
          </cell>
          <cell r="AD69"/>
        </row>
        <row r="70">
          <cell r="A70">
            <v>6</v>
          </cell>
          <cell r="B70">
            <v>0</v>
          </cell>
          <cell r="C70"/>
          <cell r="D70">
            <v>0</v>
          </cell>
          <cell r="E70">
            <v>0</v>
          </cell>
          <cell r="F70">
            <v>0</v>
          </cell>
          <cell r="G70">
            <v>0</v>
          </cell>
          <cell r="H70">
            <v>0</v>
          </cell>
          <cell r="I70"/>
          <cell r="J70">
            <v>0</v>
          </cell>
          <cell r="K70">
            <v>0</v>
          </cell>
          <cell r="L70">
            <v>0</v>
          </cell>
          <cell r="M70">
            <v>0</v>
          </cell>
          <cell r="N70">
            <v>0</v>
          </cell>
          <cell r="O70"/>
          <cell r="P70"/>
          <cell r="Q70"/>
          <cell r="R70">
            <v>0</v>
          </cell>
          <cell r="S70">
            <v>0</v>
          </cell>
          <cell r="T70">
            <v>0</v>
          </cell>
          <cell r="U70">
            <v>0</v>
          </cell>
          <cell r="V70">
            <v>0</v>
          </cell>
          <cell r="W70"/>
          <cell r="X70">
            <v>0</v>
          </cell>
          <cell r="Y70">
            <v>0</v>
          </cell>
          <cell r="Z70">
            <v>0</v>
          </cell>
          <cell r="AA70">
            <v>0</v>
          </cell>
          <cell r="AB70">
            <v>0</v>
          </cell>
          <cell r="AC70">
            <v>0</v>
          </cell>
          <cell r="AD70"/>
        </row>
        <row r="71">
          <cell r="A71">
            <v>7</v>
          </cell>
          <cell r="B71">
            <v>0</v>
          </cell>
          <cell r="C71"/>
          <cell r="D71">
            <v>0</v>
          </cell>
          <cell r="E71">
            <v>0</v>
          </cell>
          <cell r="F71">
            <v>0</v>
          </cell>
          <cell r="G71">
            <v>0</v>
          </cell>
          <cell r="H71">
            <v>0</v>
          </cell>
          <cell r="I71"/>
          <cell r="J71">
            <v>0</v>
          </cell>
          <cell r="K71">
            <v>0</v>
          </cell>
          <cell r="L71">
            <v>0</v>
          </cell>
          <cell r="M71">
            <v>0</v>
          </cell>
          <cell r="N71">
            <v>0</v>
          </cell>
          <cell r="O71"/>
          <cell r="P71"/>
          <cell r="Q71"/>
          <cell r="R71">
            <v>0</v>
          </cell>
          <cell r="S71">
            <v>0</v>
          </cell>
          <cell r="T71">
            <v>0</v>
          </cell>
          <cell r="U71">
            <v>0</v>
          </cell>
          <cell r="V71">
            <v>0</v>
          </cell>
          <cell r="W71"/>
          <cell r="X71">
            <v>0</v>
          </cell>
          <cell r="Y71">
            <v>0</v>
          </cell>
          <cell r="Z71">
            <v>0</v>
          </cell>
          <cell r="AA71">
            <v>0</v>
          </cell>
          <cell r="AB71">
            <v>0</v>
          </cell>
          <cell r="AC71">
            <v>0</v>
          </cell>
          <cell r="AD71"/>
        </row>
        <row r="72">
          <cell r="A72">
            <v>8</v>
          </cell>
          <cell r="B72">
            <v>0</v>
          </cell>
          <cell r="C72"/>
          <cell r="D72">
            <v>0</v>
          </cell>
          <cell r="E72">
            <v>0</v>
          </cell>
          <cell r="F72">
            <v>0</v>
          </cell>
          <cell r="G72">
            <v>0</v>
          </cell>
          <cell r="H72">
            <v>0</v>
          </cell>
          <cell r="I72"/>
          <cell r="J72">
            <v>0</v>
          </cell>
          <cell r="K72">
            <v>0</v>
          </cell>
          <cell r="L72">
            <v>0</v>
          </cell>
          <cell r="M72">
            <v>0</v>
          </cell>
          <cell r="N72">
            <v>0</v>
          </cell>
          <cell r="O72"/>
          <cell r="P72"/>
          <cell r="Q72"/>
          <cell r="R72">
            <v>0</v>
          </cell>
          <cell r="S72">
            <v>0</v>
          </cell>
          <cell r="T72">
            <v>0</v>
          </cell>
          <cell r="U72">
            <v>0</v>
          </cell>
          <cell r="V72">
            <v>0</v>
          </cell>
          <cell r="W72"/>
          <cell r="X72">
            <v>0</v>
          </cell>
          <cell r="Y72">
            <v>0</v>
          </cell>
          <cell r="Z72">
            <v>0</v>
          </cell>
          <cell r="AA72">
            <v>0</v>
          </cell>
          <cell r="AB72">
            <v>0</v>
          </cell>
          <cell r="AC72">
            <v>0</v>
          </cell>
          <cell r="AD72"/>
        </row>
        <row r="73">
          <cell r="A73">
            <v>9</v>
          </cell>
          <cell r="B73">
            <v>0</v>
          </cell>
          <cell r="C73"/>
          <cell r="D73">
            <v>0</v>
          </cell>
          <cell r="E73">
            <v>0</v>
          </cell>
          <cell r="F73">
            <v>0</v>
          </cell>
          <cell r="G73">
            <v>0</v>
          </cell>
          <cell r="H73">
            <v>0</v>
          </cell>
          <cell r="I73"/>
          <cell r="J73">
            <v>0</v>
          </cell>
          <cell r="K73">
            <v>0</v>
          </cell>
          <cell r="L73">
            <v>0</v>
          </cell>
          <cell r="M73">
            <v>0</v>
          </cell>
          <cell r="N73">
            <v>0</v>
          </cell>
          <cell r="O73"/>
          <cell r="P73"/>
          <cell r="Q73"/>
          <cell r="R73">
            <v>0</v>
          </cell>
          <cell r="S73">
            <v>0</v>
          </cell>
          <cell r="T73">
            <v>0</v>
          </cell>
          <cell r="U73">
            <v>0</v>
          </cell>
          <cell r="V73">
            <v>0</v>
          </cell>
          <cell r="W73"/>
          <cell r="X73">
            <v>0</v>
          </cell>
          <cell r="Y73">
            <v>0</v>
          </cell>
          <cell r="Z73">
            <v>0</v>
          </cell>
          <cell r="AA73">
            <v>0</v>
          </cell>
          <cell r="AB73">
            <v>0</v>
          </cell>
          <cell r="AC73">
            <v>0</v>
          </cell>
          <cell r="AD73"/>
        </row>
        <row r="74">
          <cell r="A74">
            <v>10</v>
          </cell>
          <cell r="B74">
            <v>0</v>
          </cell>
          <cell r="C74"/>
          <cell r="D74">
            <v>0</v>
          </cell>
          <cell r="E74">
            <v>0</v>
          </cell>
          <cell r="F74">
            <v>0</v>
          </cell>
          <cell r="G74">
            <v>0</v>
          </cell>
          <cell r="H74">
            <v>0</v>
          </cell>
          <cell r="I74"/>
          <cell r="J74">
            <v>0</v>
          </cell>
          <cell r="K74">
            <v>0</v>
          </cell>
          <cell r="L74">
            <v>0</v>
          </cell>
          <cell r="M74">
            <v>0</v>
          </cell>
          <cell r="N74">
            <v>0</v>
          </cell>
          <cell r="O74"/>
          <cell r="P74"/>
          <cell r="Q74"/>
          <cell r="R74">
            <v>0</v>
          </cell>
          <cell r="S74">
            <v>0</v>
          </cell>
          <cell r="T74">
            <v>0</v>
          </cell>
          <cell r="U74">
            <v>0</v>
          </cell>
          <cell r="V74">
            <v>0</v>
          </cell>
          <cell r="W74"/>
          <cell r="X74">
            <v>0</v>
          </cell>
          <cell r="Y74">
            <v>0</v>
          </cell>
          <cell r="Z74">
            <v>0</v>
          </cell>
          <cell r="AA74">
            <v>0</v>
          </cell>
          <cell r="AB74">
            <v>0</v>
          </cell>
          <cell r="AC74">
            <v>0</v>
          </cell>
          <cell r="AD74"/>
        </row>
        <row r="75">
          <cell r="A75">
            <v>11</v>
          </cell>
          <cell r="B75">
            <v>0</v>
          </cell>
          <cell r="C75"/>
          <cell r="D75">
            <v>0</v>
          </cell>
          <cell r="E75">
            <v>0</v>
          </cell>
          <cell r="F75">
            <v>0</v>
          </cell>
          <cell r="G75">
            <v>0</v>
          </cell>
          <cell r="H75">
            <v>0</v>
          </cell>
          <cell r="I75"/>
          <cell r="J75">
            <v>0</v>
          </cell>
          <cell r="K75">
            <v>0</v>
          </cell>
          <cell r="L75">
            <v>0</v>
          </cell>
          <cell r="M75">
            <v>0</v>
          </cell>
          <cell r="N75">
            <v>0</v>
          </cell>
          <cell r="O75"/>
          <cell r="P75"/>
          <cell r="Q75"/>
          <cell r="R75">
            <v>0</v>
          </cell>
          <cell r="S75">
            <v>0</v>
          </cell>
          <cell r="T75">
            <v>0</v>
          </cell>
          <cell r="U75">
            <v>0</v>
          </cell>
          <cell r="V75">
            <v>0</v>
          </cell>
          <cell r="W75"/>
          <cell r="X75">
            <v>0</v>
          </cell>
          <cell r="Y75">
            <v>0</v>
          </cell>
          <cell r="Z75">
            <v>0</v>
          </cell>
          <cell r="AA75">
            <v>0</v>
          </cell>
          <cell r="AB75">
            <v>0</v>
          </cell>
          <cell r="AC75">
            <v>0</v>
          </cell>
          <cell r="AD75"/>
        </row>
        <row r="76">
          <cell r="A76">
            <v>12</v>
          </cell>
          <cell r="B76">
            <v>0</v>
          </cell>
          <cell r="C76"/>
          <cell r="D76">
            <v>0</v>
          </cell>
          <cell r="E76">
            <v>0</v>
          </cell>
          <cell r="F76">
            <v>0</v>
          </cell>
          <cell r="G76">
            <v>0</v>
          </cell>
          <cell r="H76">
            <v>0</v>
          </cell>
          <cell r="I76"/>
          <cell r="J76">
            <v>0</v>
          </cell>
          <cell r="K76">
            <v>0</v>
          </cell>
          <cell r="L76">
            <v>0</v>
          </cell>
          <cell r="M76">
            <v>0</v>
          </cell>
          <cell r="N76">
            <v>0</v>
          </cell>
          <cell r="O76"/>
          <cell r="P76"/>
          <cell r="Q76"/>
          <cell r="R76">
            <v>0</v>
          </cell>
          <cell r="S76">
            <v>0</v>
          </cell>
          <cell r="T76">
            <v>0</v>
          </cell>
          <cell r="U76">
            <v>0</v>
          </cell>
          <cell r="V76">
            <v>0</v>
          </cell>
          <cell r="W76"/>
          <cell r="X76">
            <v>0</v>
          </cell>
          <cell r="Y76">
            <v>0</v>
          </cell>
          <cell r="Z76">
            <v>0</v>
          </cell>
          <cell r="AA76">
            <v>0</v>
          </cell>
          <cell r="AB76">
            <v>0</v>
          </cell>
          <cell r="AC76">
            <v>0</v>
          </cell>
          <cell r="AD76"/>
        </row>
        <row r="77">
          <cell r="A77">
            <v>13</v>
          </cell>
          <cell r="B77">
            <v>0</v>
          </cell>
          <cell r="C77"/>
          <cell r="D77">
            <v>0</v>
          </cell>
          <cell r="E77">
            <v>0</v>
          </cell>
          <cell r="F77">
            <v>0</v>
          </cell>
          <cell r="G77">
            <v>0</v>
          </cell>
          <cell r="H77">
            <v>0</v>
          </cell>
          <cell r="I77"/>
          <cell r="J77">
            <v>0</v>
          </cell>
          <cell r="K77">
            <v>0</v>
          </cell>
          <cell r="L77">
            <v>0</v>
          </cell>
          <cell r="M77">
            <v>0</v>
          </cell>
          <cell r="N77">
            <v>0</v>
          </cell>
          <cell r="O77"/>
          <cell r="P77"/>
          <cell r="Q77"/>
          <cell r="R77">
            <v>0</v>
          </cell>
          <cell r="S77">
            <v>0</v>
          </cell>
          <cell r="T77">
            <v>0</v>
          </cell>
          <cell r="U77">
            <v>0</v>
          </cell>
          <cell r="V77">
            <v>0</v>
          </cell>
          <cell r="W77"/>
          <cell r="X77">
            <v>0</v>
          </cell>
          <cell r="Y77">
            <v>0</v>
          </cell>
          <cell r="Z77">
            <v>0</v>
          </cell>
          <cell r="AA77">
            <v>0</v>
          </cell>
          <cell r="AB77">
            <v>0</v>
          </cell>
          <cell r="AC77">
            <v>0</v>
          </cell>
          <cell r="AD77"/>
        </row>
        <row r="78">
          <cell r="A78">
            <v>14</v>
          </cell>
          <cell r="B78">
            <v>0</v>
          </cell>
          <cell r="C78"/>
          <cell r="D78">
            <v>0</v>
          </cell>
          <cell r="E78">
            <v>0</v>
          </cell>
          <cell r="F78">
            <v>0</v>
          </cell>
          <cell r="G78">
            <v>0</v>
          </cell>
          <cell r="H78">
            <v>0</v>
          </cell>
          <cell r="I78"/>
          <cell r="J78">
            <v>0</v>
          </cell>
          <cell r="K78">
            <v>0</v>
          </cell>
          <cell r="L78">
            <v>0</v>
          </cell>
          <cell r="M78">
            <v>0</v>
          </cell>
          <cell r="N78">
            <v>0</v>
          </cell>
          <cell r="O78"/>
          <cell r="P78"/>
          <cell r="Q78"/>
          <cell r="R78">
            <v>0</v>
          </cell>
          <cell r="S78">
            <v>0</v>
          </cell>
          <cell r="T78">
            <v>0</v>
          </cell>
          <cell r="U78">
            <v>0</v>
          </cell>
          <cell r="V78">
            <v>0</v>
          </cell>
          <cell r="W78"/>
          <cell r="X78">
            <v>0</v>
          </cell>
          <cell r="Y78">
            <v>0</v>
          </cell>
          <cell r="Z78">
            <v>0</v>
          </cell>
          <cell r="AA78">
            <v>0</v>
          </cell>
          <cell r="AB78">
            <v>0</v>
          </cell>
          <cell r="AC78">
            <v>0</v>
          </cell>
          <cell r="AD78"/>
        </row>
        <row r="79">
          <cell r="A79">
            <v>15</v>
          </cell>
          <cell r="B79">
            <v>0</v>
          </cell>
          <cell r="C79"/>
          <cell r="D79">
            <v>0</v>
          </cell>
          <cell r="E79">
            <v>0</v>
          </cell>
          <cell r="F79">
            <v>0</v>
          </cell>
          <cell r="G79">
            <v>0</v>
          </cell>
          <cell r="H79">
            <v>0</v>
          </cell>
          <cell r="I79"/>
          <cell r="J79">
            <v>0</v>
          </cell>
          <cell r="K79">
            <v>0</v>
          </cell>
          <cell r="L79">
            <v>0</v>
          </cell>
          <cell r="M79">
            <v>0</v>
          </cell>
          <cell r="N79">
            <v>0</v>
          </cell>
          <cell r="O79">
            <v>0</v>
          </cell>
          <cell r="P79"/>
          <cell r="Q79"/>
          <cell r="R79">
            <v>0</v>
          </cell>
          <cell r="S79">
            <v>0</v>
          </cell>
          <cell r="T79">
            <v>0</v>
          </cell>
          <cell r="U79">
            <v>0</v>
          </cell>
          <cell r="V79">
            <v>0</v>
          </cell>
          <cell r="W79"/>
          <cell r="X79">
            <v>0</v>
          </cell>
          <cell r="Y79">
            <v>0</v>
          </cell>
          <cell r="Z79">
            <v>0</v>
          </cell>
          <cell r="AA79">
            <v>0</v>
          </cell>
          <cell r="AB79">
            <v>0</v>
          </cell>
          <cell r="AC79">
            <v>0</v>
          </cell>
          <cell r="AD79"/>
        </row>
        <row r="84">
          <cell r="C84"/>
          <cell r="D84"/>
          <cell r="E84"/>
          <cell r="F84"/>
          <cell r="G84"/>
          <cell r="H84"/>
          <cell r="J84"/>
          <cell r="K84"/>
          <cell r="L84"/>
          <cell r="M84"/>
          <cell r="N84"/>
          <cell r="P84"/>
        </row>
        <row r="90">
          <cell r="A90">
            <v>1</v>
          </cell>
          <cell r="B90" t="str">
            <v>AAAAA BBBBB</v>
          </cell>
          <cell r="C90"/>
          <cell r="D90">
            <v>0</v>
          </cell>
          <cell r="E90">
            <v>0</v>
          </cell>
          <cell r="F90">
            <v>0</v>
          </cell>
          <cell r="G90">
            <v>0</v>
          </cell>
          <cell r="H90">
            <v>0</v>
          </cell>
          <cell r="I90"/>
          <cell r="J90">
            <v>0</v>
          </cell>
          <cell r="K90">
            <v>0</v>
          </cell>
          <cell r="L90">
            <v>0</v>
          </cell>
          <cell r="M90">
            <v>0</v>
          </cell>
          <cell r="N90">
            <v>0</v>
          </cell>
          <cell r="O90"/>
          <cell r="P90">
            <v>0</v>
          </cell>
          <cell r="Q90"/>
          <cell r="R90">
            <v>0</v>
          </cell>
          <cell r="S90">
            <v>0</v>
          </cell>
          <cell r="T90">
            <v>0</v>
          </cell>
          <cell r="U90">
            <v>0</v>
          </cell>
          <cell r="V90">
            <v>0</v>
          </cell>
          <cell r="W90"/>
          <cell r="X90">
            <v>0</v>
          </cell>
          <cell r="Y90">
            <v>0</v>
          </cell>
          <cell r="Z90">
            <v>0</v>
          </cell>
          <cell r="AA90">
            <v>0</v>
          </cell>
          <cell r="AB90">
            <v>0</v>
          </cell>
          <cell r="AC90"/>
          <cell r="AD90">
            <v>0</v>
          </cell>
        </row>
        <row r="91">
          <cell r="A91">
            <v>2</v>
          </cell>
          <cell r="B91">
            <v>0</v>
          </cell>
          <cell r="C91"/>
          <cell r="D91">
            <v>0</v>
          </cell>
          <cell r="E91">
            <v>0</v>
          </cell>
          <cell r="F91">
            <v>0</v>
          </cell>
          <cell r="G91">
            <v>0</v>
          </cell>
          <cell r="H91">
            <v>0</v>
          </cell>
          <cell r="I91"/>
          <cell r="J91">
            <v>0</v>
          </cell>
          <cell r="K91">
            <v>0</v>
          </cell>
          <cell r="L91">
            <v>0</v>
          </cell>
          <cell r="M91">
            <v>0</v>
          </cell>
          <cell r="N91">
            <v>0</v>
          </cell>
          <cell r="O91"/>
          <cell r="P91">
            <v>0</v>
          </cell>
          <cell r="Q91"/>
          <cell r="R91">
            <v>0</v>
          </cell>
          <cell r="S91">
            <v>0</v>
          </cell>
          <cell r="T91">
            <v>0</v>
          </cell>
          <cell r="U91">
            <v>0</v>
          </cell>
          <cell r="V91">
            <v>0</v>
          </cell>
          <cell r="W91"/>
          <cell r="X91">
            <v>0</v>
          </cell>
          <cell r="Y91">
            <v>0</v>
          </cell>
          <cell r="Z91">
            <v>0</v>
          </cell>
          <cell r="AA91">
            <v>0</v>
          </cell>
          <cell r="AB91">
            <v>0</v>
          </cell>
          <cell r="AC91"/>
          <cell r="AD91">
            <v>0</v>
          </cell>
        </row>
        <row r="92">
          <cell r="A92">
            <v>3</v>
          </cell>
          <cell r="B92">
            <v>0</v>
          </cell>
          <cell r="C92"/>
          <cell r="D92">
            <v>0</v>
          </cell>
          <cell r="E92">
            <v>0</v>
          </cell>
          <cell r="F92">
            <v>0</v>
          </cell>
          <cell r="G92">
            <v>0</v>
          </cell>
          <cell r="H92">
            <v>0</v>
          </cell>
          <cell r="I92"/>
          <cell r="J92">
            <v>0</v>
          </cell>
          <cell r="K92">
            <v>0</v>
          </cell>
          <cell r="L92">
            <v>0</v>
          </cell>
          <cell r="M92">
            <v>0</v>
          </cell>
          <cell r="N92">
            <v>0</v>
          </cell>
          <cell r="O92"/>
          <cell r="P92">
            <v>0</v>
          </cell>
          <cell r="Q92"/>
          <cell r="R92">
            <v>0</v>
          </cell>
          <cell r="S92">
            <v>0</v>
          </cell>
          <cell r="T92">
            <v>0</v>
          </cell>
          <cell r="U92">
            <v>0</v>
          </cell>
          <cell r="V92">
            <v>0</v>
          </cell>
          <cell r="W92"/>
          <cell r="X92">
            <v>0</v>
          </cell>
          <cell r="Y92">
            <v>0</v>
          </cell>
          <cell r="Z92">
            <v>0</v>
          </cell>
          <cell r="AA92">
            <v>0</v>
          </cell>
          <cell r="AB92">
            <v>0</v>
          </cell>
          <cell r="AC92"/>
          <cell r="AD92">
            <v>0</v>
          </cell>
        </row>
        <row r="93">
          <cell r="A93">
            <v>4</v>
          </cell>
          <cell r="B93">
            <v>0</v>
          </cell>
          <cell r="C93"/>
          <cell r="D93">
            <v>0</v>
          </cell>
          <cell r="E93">
            <v>0</v>
          </cell>
          <cell r="F93">
            <v>0</v>
          </cell>
          <cell r="G93">
            <v>0</v>
          </cell>
          <cell r="H93">
            <v>0</v>
          </cell>
          <cell r="I93"/>
          <cell r="J93">
            <v>0</v>
          </cell>
          <cell r="K93">
            <v>0</v>
          </cell>
          <cell r="L93">
            <v>0</v>
          </cell>
          <cell r="M93">
            <v>0</v>
          </cell>
          <cell r="N93">
            <v>0</v>
          </cell>
          <cell r="O93"/>
          <cell r="P93">
            <v>0</v>
          </cell>
          <cell r="Q93"/>
          <cell r="R93">
            <v>0</v>
          </cell>
          <cell r="S93">
            <v>0</v>
          </cell>
          <cell r="T93">
            <v>0</v>
          </cell>
          <cell r="U93">
            <v>0</v>
          </cell>
          <cell r="V93">
            <v>0</v>
          </cell>
          <cell r="W93"/>
          <cell r="X93">
            <v>0</v>
          </cell>
          <cell r="Y93">
            <v>0</v>
          </cell>
          <cell r="Z93">
            <v>0</v>
          </cell>
          <cell r="AA93">
            <v>0</v>
          </cell>
          <cell r="AB93">
            <v>0</v>
          </cell>
          <cell r="AC93"/>
          <cell r="AD93">
            <v>0</v>
          </cell>
        </row>
        <row r="94">
          <cell r="A94">
            <v>5</v>
          </cell>
          <cell r="B94">
            <v>0</v>
          </cell>
          <cell r="C94"/>
          <cell r="D94">
            <v>0</v>
          </cell>
          <cell r="E94">
            <v>0</v>
          </cell>
          <cell r="F94">
            <v>0</v>
          </cell>
          <cell r="G94">
            <v>0</v>
          </cell>
          <cell r="H94">
            <v>0</v>
          </cell>
          <cell r="I94"/>
          <cell r="J94">
            <v>0</v>
          </cell>
          <cell r="K94">
            <v>0</v>
          </cell>
          <cell r="L94">
            <v>0</v>
          </cell>
          <cell r="M94">
            <v>0</v>
          </cell>
          <cell r="N94">
            <v>0</v>
          </cell>
          <cell r="O94"/>
          <cell r="P94">
            <v>0</v>
          </cell>
          <cell r="Q94"/>
          <cell r="R94">
            <v>0</v>
          </cell>
          <cell r="S94">
            <v>0</v>
          </cell>
          <cell r="T94">
            <v>0</v>
          </cell>
          <cell r="U94">
            <v>0</v>
          </cell>
          <cell r="V94">
            <v>0</v>
          </cell>
          <cell r="W94"/>
          <cell r="X94">
            <v>0</v>
          </cell>
          <cell r="Y94">
            <v>0</v>
          </cell>
          <cell r="Z94">
            <v>0</v>
          </cell>
          <cell r="AA94">
            <v>0</v>
          </cell>
          <cell r="AB94">
            <v>0</v>
          </cell>
          <cell r="AC94"/>
          <cell r="AD94">
            <v>0</v>
          </cell>
        </row>
        <row r="95">
          <cell r="A95">
            <v>6</v>
          </cell>
          <cell r="B95">
            <v>0</v>
          </cell>
          <cell r="C95"/>
          <cell r="D95">
            <v>0</v>
          </cell>
          <cell r="E95">
            <v>0</v>
          </cell>
          <cell r="F95">
            <v>0</v>
          </cell>
          <cell r="G95">
            <v>0</v>
          </cell>
          <cell r="H95">
            <v>0</v>
          </cell>
          <cell r="I95"/>
          <cell r="J95">
            <v>0</v>
          </cell>
          <cell r="K95">
            <v>0</v>
          </cell>
          <cell r="L95">
            <v>0</v>
          </cell>
          <cell r="M95">
            <v>0</v>
          </cell>
          <cell r="N95">
            <v>0</v>
          </cell>
          <cell r="O95"/>
          <cell r="P95">
            <v>0</v>
          </cell>
          <cell r="Q95"/>
          <cell r="R95">
            <v>0</v>
          </cell>
          <cell r="S95">
            <v>0</v>
          </cell>
          <cell r="T95">
            <v>0</v>
          </cell>
          <cell r="U95">
            <v>0</v>
          </cell>
          <cell r="V95">
            <v>0</v>
          </cell>
          <cell r="W95"/>
          <cell r="X95">
            <v>0</v>
          </cell>
          <cell r="Y95">
            <v>0</v>
          </cell>
          <cell r="Z95">
            <v>0</v>
          </cell>
          <cell r="AA95">
            <v>0</v>
          </cell>
          <cell r="AB95">
            <v>0</v>
          </cell>
          <cell r="AC95"/>
          <cell r="AD95">
            <v>0</v>
          </cell>
        </row>
        <row r="96">
          <cell r="A96">
            <v>7</v>
          </cell>
          <cell r="B96">
            <v>0</v>
          </cell>
          <cell r="C96"/>
          <cell r="D96">
            <v>0</v>
          </cell>
          <cell r="E96">
            <v>0</v>
          </cell>
          <cell r="F96">
            <v>0</v>
          </cell>
          <cell r="G96">
            <v>0</v>
          </cell>
          <cell r="H96">
            <v>0</v>
          </cell>
          <cell r="I96"/>
          <cell r="J96">
            <v>0</v>
          </cell>
          <cell r="K96">
            <v>0</v>
          </cell>
          <cell r="L96">
            <v>0</v>
          </cell>
          <cell r="M96">
            <v>0</v>
          </cell>
          <cell r="N96">
            <v>0</v>
          </cell>
          <cell r="O96"/>
          <cell r="P96">
            <v>0</v>
          </cell>
          <cell r="Q96"/>
          <cell r="R96">
            <v>0</v>
          </cell>
          <cell r="S96">
            <v>0</v>
          </cell>
          <cell r="T96">
            <v>0</v>
          </cell>
          <cell r="U96">
            <v>0</v>
          </cell>
          <cell r="V96">
            <v>0</v>
          </cell>
          <cell r="W96"/>
          <cell r="X96">
            <v>0</v>
          </cell>
          <cell r="Y96">
            <v>0</v>
          </cell>
          <cell r="Z96">
            <v>0</v>
          </cell>
          <cell r="AA96">
            <v>0</v>
          </cell>
          <cell r="AB96">
            <v>0</v>
          </cell>
          <cell r="AC96"/>
          <cell r="AD96">
            <v>0</v>
          </cell>
        </row>
        <row r="97">
          <cell r="A97">
            <v>8</v>
          </cell>
          <cell r="B97">
            <v>0</v>
          </cell>
          <cell r="C97"/>
          <cell r="D97">
            <v>0</v>
          </cell>
          <cell r="E97">
            <v>0</v>
          </cell>
          <cell r="F97">
            <v>0</v>
          </cell>
          <cell r="G97">
            <v>0</v>
          </cell>
          <cell r="H97">
            <v>0</v>
          </cell>
          <cell r="I97"/>
          <cell r="J97">
            <v>0</v>
          </cell>
          <cell r="K97">
            <v>0</v>
          </cell>
          <cell r="L97">
            <v>0</v>
          </cell>
          <cell r="M97">
            <v>0</v>
          </cell>
          <cell r="N97">
            <v>0</v>
          </cell>
          <cell r="O97"/>
          <cell r="P97">
            <v>0</v>
          </cell>
          <cell r="Q97"/>
          <cell r="R97">
            <v>0</v>
          </cell>
          <cell r="S97">
            <v>0</v>
          </cell>
          <cell r="T97">
            <v>0</v>
          </cell>
          <cell r="U97">
            <v>0</v>
          </cell>
          <cell r="V97">
            <v>0</v>
          </cell>
          <cell r="W97"/>
          <cell r="X97">
            <v>0</v>
          </cell>
          <cell r="Y97">
            <v>0</v>
          </cell>
          <cell r="Z97">
            <v>0</v>
          </cell>
          <cell r="AA97">
            <v>0</v>
          </cell>
          <cell r="AB97">
            <v>0</v>
          </cell>
          <cell r="AC97"/>
          <cell r="AD97">
            <v>0</v>
          </cell>
        </row>
        <row r="98">
          <cell r="A98">
            <v>9</v>
          </cell>
          <cell r="B98">
            <v>0</v>
          </cell>
          <cell r="C98"/>
          <cell r="D98">
            <v>0</v>
          </cell>
          <cell r="E98">
            <v>0</v>
          </cell>
          <cell r="F98">
            <v>0</v>
          </cell>
          <cell r="G98">
            <v>0</v>
          </cell>
          <cell r="H98">
            <v>0</v>
          </cell>
          <cell r="I98"/>
          <cell r="J98">
            <v>0</v>
          </cell>
          <cell r="K98">
            <v>0</v>
          </cell>
          <cell r="L98">
            <v>0</v>
          </cell>
          <cell r="M98">
            <v>0</v>
          </cell>
          <cell r="N98">
            <v>0</v>
          </cell>
          <cell r="O98"/>
          <cell r="P98">
            <v>0</v>
          </cell>
          <cell r="Q98"/>
          <cell r="R98">
            <v>0</v>
          </cell>
          <cell r="S98">
            <v>0</v>
          </cell>
          <cell r="T98">
            <v>0</v>
          </cell>
          <cell r="U98">
            <v>0</v>
          </cell>
          <cell r="V98">
            <v>0</v>
          </cell>
          <cell r="W98"/>
          <cell r="X98">
            <v>0</v>
          </cell>
          <cell r="Y98">
            <v>0</v>
          </cell>
          <cell r="Z98">
            <v>0</v>
          </cell>
          <cell r="AA98">
            <v>0</v>
          </cell>
          <cell r="AB98">
            <v>0</v>
          </cell>
          <cell r="AC98"/>
          <cell r="AD98">
            <v>0</v>
          </cell>
        </row>
        <row r="99">
          <cell r="A99">
            <v>10</v>
          </cell>
          <cell r="B99">
            <v>0</v>
          </cell>
          <cell r="C99"/>
          <cell r="D99">
            <v>0</v>
          </cell>
          <cell r="E99">
            <v>0</v>
          </cell>
          <cell r="F99">
            <v>0</v>
          </cell>
          <cell r="G99">
            <v>0</v>
          </cell>
          <cell r="H99">
            <v>0</v>
          </cell>
          <cell r="I99"/>
          <cell r="J99">
            <v>0</v>
          </cell>
          <cell r="K99">
            <v>0</v>
          </cell>
          <cell r="L99">
            <v>0</v>
          </cell>
          <cell r="M99">
            <v>0</v>
          </cell>
          <cell r="N99">
            <v>0</v>
          </cell>
          <cell r="O99"/>
          <cell r="P99">
            <v>0</v>
          </cell>
          <cell r="Q99"/>
          <cell r="R99">
            <v>0</v>
          </cell>
          <cell r="S99">
            <v>0</v>
          </cell>
          <cell r="T99">
            <v>0</v>
          </cell>
          <cell r="U99">
            <v>0</v>
          </cell>
          <cell r="V99">
            <v>0</v>
          </cell>
          <cell r="W99"/>
          <cell r="X99">
            <v>0</v>
          </cell>
          <cell r="Y99">
            <v>0</v>
          </cell>
          <cell r="Z99">
            <v>0</v>
          </cell>
          <cell r="AA99">
            <v>0</v>
          </cell>
          <cell r="AB99">
            <v>0</v>
          </cell>
          <cell r="AC99"/>
          <cell r="AD99">
            <v>0</v>
          </cell>
        </row>
        <row r="100">
          <cell r="A100">
            <v>11</v>
          </cell>
          <cell r="B100">
            <v>0</v>
          </cell>
          <cell r="C100"/>
          <cell r="D100">
            <v>0</v>
          </cell>
          <cell r="E100">
            <v>0</v>
          </cell>
          <cell r="F100">
            <v>0</v>
          </cell>
          <cell r="G100">
            <v>0</v>
          </cell>
          <cell r="H100">
            <v>0</v>
          </cell>
          <cell r="I100"/>
          <cell r="J100">
            <v>0</v>
          </cell>
          <cell r="K100">
            <v>0</v>
          </cell>
          <cell r="L100">
            <v>0</v>
          </cell>
          <cell r="M100">
            <v>0</v>
          </cell>
          <cell r="N100">
            <v>0</v>
          </cell>
          <cell r="O100"/>
          <cell r="P100">
            <v>0</v>
          </cell>
          <cell r="Q100"/>
          <cell r="R100">
            <v>0</v>
          </cell>
          <cell r="S100">
            <v>0</v>
          </cell>
          <cell r="T100">
            <v>0</v>
          </cell>
          <cell r="U100">
            <v>0</v>
          </cell>
          <cell r="V100">
            <v>0</v>
          </cell>
          <cell r="W100"/>
          <cell r="X100">
            <v>0</v>
          </cell>
          <cell r="Y100">
            <v>0</v>
          </cell>
          <cell r="Z100">
            <v>0</v>
          </cell>
          <cell r="AA100">
            <v>0</v>
          </cell>
          <cell r="AB100">
            <v>0</v>
          </cell>
          <cell r="AC100"/>
          <cell r="AD100">
            <v>0</v>
          </cell>
        </row>
        <row r="101">
          <cell r="A101">
            <v>12</v>
          </cell>
          <cell r="B101">
            <v>0</v>
          </cell>
          <cell r="C101"/>
          <cell r="D101">
            <v>0</v>
          </cell>
          <cell r="E101">
            <v>0</v>
          </cell>
          <cell r="F101">
            <v>0</v>
          </cell>
          <cell r="G101">
            <v>0</v>
          </cell>
          <cell r="H101">
            <v>0</v>
          </cell>
          <cell r="I101"/>
          <cell r="J101">
            <v>0</v>
          </cell>
          <cell r="K101">
            <v>0</v>
          </cell>
          <cell r="L101">
            <v>0</v>
          </cell>
          <cell r="M101">
            <v>0</v>
          </cell>
          <cell r="N101">
            <v>0</v>
          </cell>
          <cell r="O101"/>
          <cell r="P101">
            <v>0</v>
          </cell>
          <cell r="Q101"/>
          <cell r="R101">
            <v>0</v>
          </cell>
          <cell r="S101">
            <v>0</v>
          </cell>
          <cell r="T101">
            <v>0</v>
          </cell>
          <cell r="U101">
            <v>0</v>
          </cell>
          <cell r="V101">
            <v>0</v>
          </cell>
          <cell r="W101"/>
          <cell r="X101">
            <v>0</v>
          </cell>
          <cell r="Y101">
            <v>0</v>
          </cell>
          <cell r="Z101">
            <v>0</v>
          </cell>
          <cell r="AA101">
            <v>0</v>
          </cell>
          <cell r="AB101">
            <v>0</v>
          </cell>
          <cell r="AC101"/>
          <cell r="AD101">
            <v>0</v>
          </cell>
        </row>
        <row r="102">
          <cell r="A102">
            <v>13</v>
          </cell>
          <cell r="B102">
            <v>0</v>
          </cell>
          <cell r="C102"/>
          <cell r="D102">
            <v>0</v>
          </cell>
          <cell r="E102">
            <v>0</v>
          </cell>
          <cell r="F102">
            <v>0</v>
          </cell>
          <cell r="G102">
            <v>0</v>
          </cell>
          <cell r="H102">
            <v>0</v>
          </cell>
          <cell r="I102"/>
          <cell r="J102">
            <v>0</v>
          </cell>
          <cell r="K102">
            <v>0</v>
          </cell>
          <cell r="L102">
            <v>0</v>
          </cell>
          <cell r="M102">
            <v>0</v>
          </cell>
          <cell r="N102">
            <v>0</v>
          </cell>
          <cell r="O102"/>
          <cell r="P102">
            <v>0</v>
          </cell>
          <cell r="Q102"/>
          <cell r="R102">
            <v>0</v>
          </cell>
          <cell r="S102">
            <v>0</v>
          </cell>
          <cell r="T102">
            <v>0</v>
          </cell>
          <cell r="U102">
            <v>0</v>
          </cell>
          <cell r="V102">
            <v>0</v>
          </cell>
          <cell r="W102"/>
          <cell r="X102">
            <v>0</v>
          </cell>
          <cell r="Y102">
            <v>0</v>
          </cell>
          <cell r="Z102">
            <v>0</v>
          </cell>
          <cell r="AA102">
            <v>0</v>
          </cell>
          <cell r="AB102">
            <v>0</v>
          </cell>
          <cell r="AC102"/>
          <cell r="AD102">
            <v>0</v>
          </cell>
        </row>
        <row r="103">
          <cell r="A103">
            <v>14</v>
          </cell>
          <cell r="B103">
            <v>0</v>
          </cell>
          <cell r="C103"/>
          <cell r="D103">
            <v>0</v>
          </cell>
          <cell r="E103">
            <v>0</v>
          </cell>
          <cell r="F103">
            <v>0</v>
          </cell>
          <cell r="G103">
            <v>0</v>
          </cell>
          <cell r="H103">
            <v>0</v>
          </cell>
          <cell r="I103"/>
          <cell r="J103">
            <v>0</v>
          </cell>
          <cell r="K103">
            <v>0</v>
          </cell>
          <cell r="L103">
            <v>0</v>
          </cell>
          <cell r="M103">
            <v>0</v>
          </cell>
          <cell r="N103">
            <v>0</v>
          </cell>
          <cell r="O103"/>
          <cell r="P103">
            <v>0</v>
          </cell>
          <cell r="Q103"/>
          <cell r="R103">
            <v>0</v>
          </cell>
          <cell r="S103">
            <v>0</v>
          </cell>
          <cell r="T103">
            <v>0</v>
          </cell>
          <cell r="U103">
            <v>0</v>
          </cell>
          <cell r="V103">
            <v>0</v>
          </cell>
          <cell r="W103"/>
          <cell r="X103">
            <v>0</v>
          </cell>
          <cell r="Y103">
            <v>0</v>
          </cell>
          <cell r="Z103">
            <v>0</v>
          </cell>
          <cell r="AA103">
            <v>0</v>
          </cell>
          <cell r="AB103">
            <v>0</v>
          </cell>
          <cell r="AC103"/>
          <cell r="AD103">
            <v>0</v>
          </cell>
        </row>
        <row r="104">
          <cell r="A104">
            <v>15</v>
          </cell>
          <cell r="B104">
            <v>0</v>
          </cell>
          <cell r="C104"/>
          <cell r="D104">
            <v>0</v>
          </cell>
          <cell r="E104">
            <v>0</v>
          </cell>
          <cell r="F104">
            <v>0</v>
          </cell>
          <cell r="G104">
            <v>0</v>
          </cell>
          <cell r="H104">
            <v>0</v>
          </cell>
          <cell r="I104"/>
          <cell r="J104">
            <v>0</v>
          </cell>
          <cell r="K104">
            <v>0</v>
          </cell>
          <cell r="L104">
            <v>0</v>
          </cell>
          <cell r="M104">
            <v>0</v>
          </cell>
          <cell r="N104">
            <v>0</v>
          </cell>
          <cell r="O104"/>
          <cell r="P104">
            <v>0</v>
          </cell>
          <cell r="Q104"/>
          <cell r="R104">
            <v>0</v>
          </cell>
          <cell r="S104">
            <v>0</v>
          </cell>
          <cell r="T104">
            <v>0</v>
          </cell>
          <cell r="U104">
            <v>0</v>
          </cell>
          <cell r="V104">
            <v>0</v>
          </cell>
          <cell r="W104"/>
          <cell r="X104">
            <v>0</v>
          </cell>
          <cell r="Y104">
            <v>0</v>
          </cell>
          <cell r="Z104">
            <v>0</v>
          </cell>
          <cell r="AA104">
            <v>0</v>
          </cell>
          <cell r="AB104">
            <v>0</v>
          </cell>
          <cell r="AC104"/>
          <cell r="AD104">
            <v>0</v>
          </cell>
        </row>
      </sheetData>
      <sheetData sheetId="3"/>
      <sheetData sheetId="4">
        <row r="7">
          <cell r="A7" t="str">
            <v>Q</v>
          </cell>
          <cell r="B7">
            <v>1896.64</v>
          </cell>
          <cell r="C7">
            <v>1896.64</v>
          </cell>
          <cell r="D7">
            <v>1896.64</v>
          </cell>
          <cell r="E7">
            <v>1896.64</v>
          </cell>
          <cell r="F7">
            <v>1896.64</v>
          </cell>
          <cell r="G7">
            <v>1896.64</v>
          </cell>
          <cell r="H7">
            <v>1896.64</v>
          </cell>
          <cell r="I7">
            <v>1896.64</v>
          </cell>
          <cell r="J7">
            <v>1896.64</v>
          </cell>
          <cell r="K7">
            <v>1896.64</v>
          </cell>
          <cell r="L7">
            <v>1896.64</v>
          </cell>
          <cell r="M7">
            <v>1896.64</v>
          </cell>
          <cell r="N7">
            <v>1896.64</v>
          </cell>
          <cell r="O7">
            <v>1896.64</v>
          </cell>
        </row>
        <row r="8">
          <cell r="A8">
            <v>1</v>
          </cell>
          <cell r="B8">
            <v>1708.49</v>
          </cell>
          <cell r="C8">
            <v>1708.49</v>
          </cell>
          <cell r="D8">
            <v>1708.49</v>
          </cell>
          <cell r="E8">
            <v>1708.49</v>
          </cell>
          <cell r="F8">
            <v>1708.49</v>
          </cell>
          <cell r="G8">
            <v>1708.49</v>
          </cell>
          <cell r="H8">
            <v>1708.49</v>
          </cell>
          <cell r="I8">
            <v>1708.49</v>
          </cell>
          <cell r="J8">
            <v>1708.49</v>
          </cell>
          <cell r="K8">
            <v>1708.49</v>
          </cell>
          <cell r="L8">
            <v>1708.49</v>
          </cell>
          <cell r="M8">
            <v>1708.49</v>
          </cell>
          <cell r="N8">
            <v>1708.49</v>
          </cell>
          <cell r="O8">
            <v>1708.49</v>
          </cell>
        </row>
        <row r="9">
          <cell r="A9">
            <v>2</v>
          </cell>
          <cell r="B9">
            <v>1477.83</v>
          </cell>
          <cell r="C9">
            <v>1477.83</v>
          </cell>
          <cell r="D9">
            <v>1477.83</v>
          </cell>
          <cell r="E9">
            <v>1477.83</v>
          </cell>
          <cell r="F9">
            <v>1477.83</v>
          </cell>
          <cell r="G9">
            <v>1477.83</v>
          </cell>
          <cell r="H9">
            <v>1477.83</v>
          </cell>
          <cell r="I9">
            <v>1477.83</v>
          </cell>
          <cell r="J9">
            <v>1477.83</v>
          </cell>
          <cell r="K9">
            <v>1477.83</v>
          </cell>
          <cell r="L9">
            <v>1477.83</v>
          </cell>
          <cell r="M9">
            <v>1477.83</v>
          </cell>
          <cell r="N9">
            <v>1477.83</v>
          </cell>
          <cell r="O9">
            <v>1477.83</v>
          </cell>
        </row>
        <row r="10">
          <cell r="A10">
            <v>3</v>
          </cell>
          <cell r="B10">
            <v>1263.1400000000001</v>
          </cell>
          <cell r="C10">
            <v>1263.1400000000001</v>
          </cell>
          <cell r="D10">
            <v>1263.1400000000001</v>
          </cell>
          <cell r="E10">
            <v>1263.1400000000001</v>
          </cell>
          <cell r="F10">
            <v>1263.1400000000001</v>
          </cell>
          <cell r="G10">
            <v>1263.1400000000001</v>
          </cell>
          <cell r="H10">
            <v>1263.1400000000001</v>
          </cell>
          <cell r="I10">
            <v>1263.1400000000001</v>
          </cell>
          <cell r="J10">
            <v>1263.1400000000001</v>
          </cell>
          <cell r="K10">
            <v>1263.1400000000001</v>
          </cell>
          <cell r="L10">
            <v>1263.1400000000001</v>
          </cell>
          <cell r="M10">
            <v>1263.1400000000001</v>
          </cell>
          <cell r="N10">
            <v>1263.1400000000001</v>
          </cell>
          <cell r="O10">
            <v>1263.1400000000001</v>
          </cell>
        </row>
        <row r="11">
          <cell r="A11">
            <v>4</v>
          </cell>
          <cell r="B11">
            <v>1092.46</v>
          </cell>
          <cell r="C11">
            <v>1092.46</v>
          </cell>
          <cell r="D11">
            <v>1092.46</v>
          </cell>
          <cell r="E11">
            <v>1092.46</v>
          </cell>
          <cell r="F11">
            <v>1092.46</v>
          </cell>
          <cell r="G11">
            <v>1092.46</v>
          </cell>
          <cell r="H11">
            <v>1092.46</v>
          </cell>
          <cell r="I11">
            <v>1092.46</v>
          </cell>
          <cell r="J11">
            <v>1092.46</v>
          </cell>
          <cell r="K11">
            <v>1092.46</v>
          </cell>
          <cell r="L11">
            <v>1092.46</v>
          </cell>
          <cell r="M11">
            <v>1092.46</v>
          </cell>
          <cell r="N11">
            <v>1092.46</v>
          </cell>
          <cell r="O11">
            <v>1092.46</v>
          </cell>
        </row>
        <row r="12">
          <cell r="A12">
            <v>5</v>
          </cell>
          <cell r="B12">
            <v>987</v>
          </cell>
          <cell r="C12">
            <v>987</v>
          </cell>
          <cell r="D12">
            <v>987</v>
          </cell>
          <cell r="E12">
            <v>987</v>
          </cell>
          <cell r="F12">
            <v>987</v>
          </cell>
          <cell r="G12">
            <v>987</v>
          </cell>
          <cell r="H12">
            <v>987</v>
          </cell>
          <cell r="I12">
            <v>987</v>
          </cell>
          <cell r="J12">
            <v>987</v>
          </cell>
          <cell r="K12">
            <v>987</v>
          </cell>
          <cell r="L12">
            <v>987</v>
          </cell>
          <cell r="M12">
            <v>987</v>
          </cell>
          <cell r="N12">
            <v>987</v>
          </cell>
          <cell r="O12">
            <v>987</v>
          </cell>
        </row>
        <row r="13">
          <cell r="A13">
            <v>6</v>
          </cell>
          <cell r="B13">
            <v>886.13</v>
          </cell>
          <cell r="C13">
            <v>886.13</v>
          </cell>
          <cell r="D13">
            <v>886.13</v>
          </cell>
          <cell r="E13">
            <v>886.13</v>
          </cell>
          <cell r="F13">
            <v>886.13</v>
          </cell>
          <cell r="G13">
            <v>886.13</v>
          </cell>
          <cell r="H13">
            <v>886.13</v>
          </cell>
          <cell r="I13">
            <v>886.13</v>
          </cell>
          <cell r="J13">
            <v>886.13</v>
          </cell>
          <cell r="K13">
            <v>886.13</v>
          </cell>
          <cell r="L13">
            <v>886.13</v>
          </cell>
          <cell r="M13">
            <v>886.13</v>
          </cell>
          <cell r="N13">
            <v>886.13</v>
          </cell>
          <cell r="O13">
            <v>886.13</v>
          </cell>
        </row>
        <row r="14">
          <cell r="A14" t="str">
            <v>Direktoren</v>
          </cell>
          <cell r="B14">
            <v>4070</v>
          </cell>
          <cell r="C14">
            <v>4070</v>
          </cell>
          <cell r="D14">
            <v>4070</v>
          </cell>
          <cell r="E14">
            <v>4070</v>
          </cell>
          <cell r="F14">
            <v>4070</v>
          </cell>
          <cell r="G14">
            <v>4070</v>
          </cell>
          <cell r="H14">
            <v>4070</v>
          </cell>
          <cell r="I14">
            <v>4070</v>
          </cell>
          <cell r="J14">
            <v>4070</v>
          </cell>
          <cell r="K14">
            <v>4070</v>
          </cell>
          <cell r="L14">
            <v>4070</v>
          </cell>
          <cell r="M14">
            <v>4070</v>
          </cell>
          <cell r="N14">
            <v>4070</v>
          </cell>
          <cell r="O14">
            <v>4070</v>
          </cell>
        </row>
        <row r="15">
          <cell r="A15"/>
          <cell r="B15">
            <v>0</v>
          </cell>
          <cell r="C15">
            <v>0</v>
          </cell>
          <cell r="D15">
            <v>0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0</v>
          </cell>
        </row>
        <row r="21">
          <cell r="A21" t="str">
            <v>Q</v>
          </cell>
          <cell r="B21">
            <v>540.37</v>
          </cell>
          <cell r="C21">
            <v>540.37</v>
          </cell>
          <cell r="D21">
            <v>540.37</v>
          </cell>
          <cell r="E21">
            <v>540.37</v>
          </cell>
          <cell r="F21">
            <v>540.37</v>
          </cell>
          <cell r="G21">
            <v>540.37</v>
          </cell>
          <cell r="H21">
            <v>540.37</v>
          </cell>
          <cell r="I21">
            <v>540.37</v>
          </cell>
          <cell r="J21">
            <v>540.37</v>
          </cell>
          <cell r="K21">
            <v>540.37</v>
          </cell>
          <cell r="L21">
            <v>540.37</v>
          </cell>
          <cell r="M21">
            <v>540.37</v>
          </cell>
          <cell r="N21">
            <v>540.37</v>
          </cell>
          <cell r="O21">
            <v>540.37</v>
          </cell>
        </row>
        <row r="22">
          <cell r="A22">
            <v>1</v>
          </cell>
          <cell r="B22">
            <v>537.52</v>
          </cell>
          <cell r="C22">
            <v>537.52</v>
          </cell>
          <cell r="D22">
            <v>537.52</v>
          </cell>
          <cell r="E22">
            <v>537.52</v>
          </cell>
          <cell r="F22">
            <v>537.52</v>
          </cell>
          <cell r="G22">
            <v>537.52</v>
          </cell>
          <cell r="H22">
            <v>537.52</v>
          </cell>
          <cell r="I22">
            <v>537.52</v>
          </cell>
          <cell r="J22">
            <v>537.52</v>
          </cell>
          <cell r="K22">
            <v>537.52</v>
          </cell>
          <cell r="L22">
            <v>537.52</v>
          </cell>
          <cell r="M22">
            <v>537.52</v>
          </cell>
          <cell r="N22">
            <v>537.52</v>
          </cell>
          <cell r="O22">
            <v>537.52</v>
          </cell>
        </row>
        <row r="23">
          <cell r="A23">
            <v>2</v>
          </cell>
          <cell r="B23">
            <v>532.54</v>
          </cell>
          <cell r="C23">
            <v>532.54</v>
          </cell>
          <cell r="D23">
            <v>532.54</v>
          </cell>
          <cell r="E23">
            <v>532.54</v>
          </cell>
          <cell r="F23">
            <v>532.54</v>
          </cell>
          <cell r="G23">
            <v>532.54</v>
          </cell>
          <cell r="H23">
            <v>532.54</v>
          </cell>
          <cell r="I23">
            <v>532.54</v>
          </cell>
          <cell r="J23">
            <v>532.54</v>
          </cell>
          <cell r="K23">
            <v>532.54</v>
          </cell>
          <cell r="L23">
            <v>532.54</v>
          </cell>
          <cell r="M23">
            <v>532.54</v>
          </cell>
          <cell r="N23">
            <v>532.54</v>
          </cell>
          <cell r="O23">
            <v>532.54</v>
          </cell>
        </row>
        <row r="24">
          <cell r="A24">
            <v>3</v>
          </cell>
          <cell r="B24">
            <v>527.9</v>
          </cell>
          <cell r="C24">
            <v>527.9</v>
          </cell>
          <cell r="D24">
            <v>527.9</v>
          </cell>
          <cell r="E24">
            <v>527.9</v>
          </cell>
          <cell r="F24">
            <v>527.9</v>
          </cell>
          <cell r="G24">
            <v>527.9</v>
          </cell>
          <cell r="H24">
            <v>527.9</v>
          </cell>
          <cell r="I24">
            <v>527.9</v>
          </cell>
          <cell r="J24">
            <v>527.9</v>
          </cell>
          <cell r="K24">
            <v>527.9</v>
          </cell>
          <cell r="L24">
            <v>527.9</v>
          </cell>
          <cell r="M24">
            <v>527.9</v>
          </cell>
          <cell r="N24">
            <v>527.9</v>
          </cell>
          <cell r="O24">
            <v>527.9</v>
          </cell>
        </row>
        <row r="25">
          <cell r="A25">
            <v>4</v>
          </cell>
          <cell r="B25">
            <v>524.22</v>
          </cell>
          <cell r="C25">
            <v>524.22</v>
          </cell>
          <cell r="D25">
            <v>524.22</v>
          </cell>
          <cell r="E25">
            <v>524.22</v>
          </cell>
          <cell r="F25">
            <v>524.22</v>
          </cell>
          <cell r="G25">
            <v>524.22</v>
          </cell>
          <cell r="H25">
            <v>524.22</v>
          </cell>
          <cell r="I25">
            <v>524.22</v>
          </cell>
          <cell r="J25">
            <v>524.22</v>
          </cell>
          <cell r="K25">
            <v>524.22</v>
          </cell>
          <cell r="L25">
            <v>524.22</v>
          </cell>
          <cell r="M25">
            <v>524.22</v>
          </cell>
          <cell r="N25">
            <v>524.22</v>
          </cell>
          <cell r="O25">
            <v>524.22</v>
          </cell>
        </row>
        <row r="26">
          <cell r="A26">
            <v>5</v>
          </cell>
          <cell r="B26">
            <v>521.94000000000005</v>
          </cell>
          <cell r="C26">
            <v>521.94000000000005</v>
          </cell>
          <cell r="D26">
            <v>521.94000000000005</v>
          </cell>
          <cell r="E26">
            <v>521.94000000000005</v>
          </cell>
          <cell r="F26">
            <v>521.94000000000005</v>
          </cell>
          <cell r="G26">
            <v>521.94000000000005</v>
          </cell>
          <cell r="H26">
            <v>521.94000000000005</v>
          </cell>
          <cell r="I26">
            <v>521.94000000000005</v>
          </cell>
          <cell r="J26">
            <v>521.94000000000005</v>
          </cell>
          <cell r="K26">
            <v>521.94000000000005</v>
          </cell>
          <cell r="L26">
            <v>521.94000000000005</v>
          </cell>
          <cell r="M26">
            <v>521.94000000000005</v>
          </cell>
          <cell r="N26">
            <v>521.94000000000005</v>
          </cell>
          <cell r="O26">
            <v>521.94000000000005</v>
          </cell>
        </row>
        <row r="27">
          <cell r="A27">
            <v>6</v>
          </cell>
          <cell r="B27">
            <v>519.76</v>
          </cell>
          <cell r="C27">
            <v>519.76</v>
          </cell>
          <cell r="D27">
            <v>519.76</v>
          </cell>
          <cell r="E27">
            <v>519.76</v>
          </cell>
          <cell r="F27">
            <v>519.76</v>
          </cell>
          <cell r="G27">
            <v>519.76</v>
          </cell>
          <cell r="H27">
            <v>519.76</v>
          </cell>
          <cell r="I27">
            <v>519.76</v>
          </cell>
          <cell r="J27">
            <v>519.76</v>
          </cell>
          <cell r="K27">
            <v>519.76</v>
          </cell>
          <cell r="L27">
            <v>519.76</v>
          </cell>
          <cell r="M27">
            <v>519.76</v>
          </cell>
          <cell r="N27">
            <v>519.76</v>
          </cell>
          <cell r="O27">
            <v>519.76</v>
          </cell>
        </row>
        <row r="28">
          <cell r="A28" t="str">
            <v>Direktoren</v>
          </cell>
          <cell r="B28">
            <v>0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/>
          <cell r="J28"/>
          <cell r="K28"/>
          <cell r="L28"/>
          <cell r="M28"/>
          <cell r="N28"/>
          <cell r="O28"/>
        </row>
        <row r="29">
          <cell r="A29"/>
          <cell r="B29"/>
          <cell r="C29">
            <v>0</v>
          </cell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O29">
            <v>0</v>
          </cell>
        </row>
        <row r="35">
          <cell r="A35" t="str">
            <v>Q</v>
          </cell>
          <cell r="B35">
            <v>260.76</v>
          </cell>
          <cell r="C35">
            <v>260.76</v>
          </cell>
          <cell r="D35">
            <v>260.76</v>
          </cell>
          <cell r="E35">
            <v>260.76</v>
          </cell>
          <cell r="F35">
            <v>260.76</v>
          </cell>
          <cell r="G35">
            <v>260.76</v>
          </cell>
          <cell r="H35">
            <v>260.76</v>
          </cell>
          <cell r="I35">
            <v>260.76</v>
          </cell>
          <cell r="J35">
            <v>268.77</v>
          </cell>
          <cell r="K35">
            <v>268.77</v>
          </cell>
          <cell r="L35">
            <v>268.77</v>
          </cell>
          <cell r="M35">
            <v>268.77</v>
          </cell>
          <cell r="N35">
            <v>268.77</v>
          </cell>
          <cell r="O35">
            <v>268.77</v>
          </cell>
        </row>
        <row r="36">
          <cell r="A36">
            <v>1</v>
          </cell>
          <cell r="B36"/>
          <cell r="C36">
            <v>0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  <cell r="I36"/>
          <cell r="J36">
            <v>0</v>
          </cell>
          <cell r="K36">
            <v>0</v>
          </cell>
          <cell r="L36">
            <v>0</v>
          </cell>
          <cell r="M36">
            <v>0</v>
          </cell>
          <cell r="N36">
            <v>0</v>
          </cell>
          <cell r="O36">
            <v>0</v>
          </cell>
        </row>
        <row r="37">
          <cell r="A37">
            <v>2</v>
          </cell>
          <cell r="B37"/>
          <cell r="C37">
            <v>0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  <cell r="I37"/>
          <cell r="J37">
            <v>0</v>
          </cell>
          <cell r="K37">
            <v>0</v>
          </cell>
          <cell r="L37">
            <v>0</v>
          </cell>
          <cell r="M37">
            <v>0</v>
          </cell>
          <cell r="N37">
            <v>0</v>
          </cell>
          <cell r="O37">
            <v>0</v>
          </cell>
        </row>
        <row r="38">
          <cell r="A38">
            <v>3</v>
          </cell>
          <cell r="B38"/>
          <cell r="C38">
            <v>0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/>
          <cell r="J38">
            <v>0</v>
          </cell>
          <cell r="K38">
            <v>0</v>
          </cell>
          <cell r="L38">
            <v>0</v>
          </cell>
          <cell r="M38">
            <v>0</v>
          </cell>
          <cell r="N38">
            <v>0</v>
          </cell>
          <cell r="O38">
            <v>0</v>
          </cell>
        </row>
        <row r="39">
          <cell r="A39">
            <v>4</v>
          </cell>
          <cell r="B39"/>
          <cell r="C39">
            <v>0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/>
          <cell r="J39">
            <v>0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O39">
            <v>0</v>
          </cell>
        </row>
        <row r="40">
          <cell r="A40">
            <v>5</v>
          </cell>
          <cell r="B40"/>
          <cell r="C40">
            <v>0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/>
          <cell r="J40">
            <v>0</v>
          </cell>
          <cell r="K40">
            <v>0</v>
          </cell>
          <cell r="L40">
            <v>0</v>
          </cell>
          <cell r="M40">
            <v>0</v>
          </cell>
          <cell r="N40">
            <v>0</v>
          </cell>
          <cell r="O40">
            <v>0</v>
          </cell>
        </row>
        <row r="41">
          <cell r="A41">
            <v>6</v>
          </cell>
          <cell r="B41"/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  <cell r="I41"/>
          <cell r="J41">
            <v>0</v>
          </cell>
          <cell r="K41">
            <v>0</v>
          </cell>
          <cell r="L41">
            <v>0</v>
          </cell>
          <cell r="M41">
            <v>0</v>
          </cell>
          <cell r="N41">
            <v>0</v>
          </cell>
          <cell r="O41">
            <v>0</v>
          </cell>
        </row>
        <row r="42">
          <cell r="A42" t="str">
            <v>Direktoren</v>
          </cell>
          <cell r="B42"/>
          <cell r="C42"/>
          <cell r="D42"/>
          <cell r="E42"/>
          <cell r="F42"/>
          <cell r="G42"/>
          <cell r="H42"/>
          <cell r="I42"/>
          <cell r="J42"/>
          <cell r="K42"/>
          <cell r="L42"/>
          <cell r="M42"/>
          <cell r="N42"/>
          <cell r="O42"/>
        </row>
        <row r="43">
          <cell r="A43"/>
          <cell r="B43"/>
          <cell r="C43">
            <v>0</v>
          </cell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  <cell r="I43">
            <v>0</v>
          </cell>
          <cell r="J43">
            <v>0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  <cell r="O43">
            <v>0</v>
          </cell>
        </row>
        <row r="49">
          <cell r="A49" t="str">
            <v>Q</v>
          </cell>
          <cell r="B49"/>
          <cell r="C49">
            <v>0</v>
          </cell>
          <cell r="D49">
            <v>0</v>
          </cell>
          <cell r="E49">
            <v>0</v>
          </cell>
          <cell r="F49">
            <v>0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  <cell r="K49">
            <v>0</v>
          </cell>
          <cell r="L49">
            <v>0</v>
          </cell>
          <cell r="M49">
            <v>0</v>
          </cell>
          <cell r="N49">
            <v>0</v>
          </cell>
          <cell r="O49">
            <v>0</v>
          </cell>
        </row>
        <row r="50">
          <cell r="A50">
            <v>1</v>
          </cell>
          <cell r="B50">
            <v>8</v>
          </cell>
          <cell r="C50">
            <v>8</v>
          </cell>
          <cell r="D50">
            <v>8</v>
          </cell>
          <cell r="E50">
            <v>8</v>
          </cell>
          <cell r="F50">
            <v>8</v>
          </cell>
          <cell r="G50">
            <v>8</v>
          </cell>
          <cell r="H50">
            <v>8</v>
          </cell>
          <cell r="I50">
            <v>8</v>
          </cell>
          <cell r="J50">
            <v>8</v>
          </cell>
          <cell r="K50">
            <v>8</v>
          </cell>
          <cell r="L50">
            <v>8</v>
          </cell>
          <cell r="M50">
            <v>8</v>
          </cell>
          <cell r="N50">
            <v>8</v>
          </cell>
          <cell r="O50">
            <v>8</v>
          </cell>
        </row>
        <row r="51">
          <cell r="A51">
            <v>2</v>
          </cell>
          <cell r="B51">
            <v>8</v>
          </cell>
          <cell r="C51">
            <v>8</v>
          </cell>
          <cell r="D51">
            <v>8</v>
          </cell>
          <cell r="E51">
            <v>8</v>
          </cell>
          <cell r="F51">
            <v>8</v>
          </cell>
          <cell r="G51">
            <v>8</v>
          </cell>
          <cell r="H51">
            <v>8</v>
          </cell>
          <cell r="I51">
            <v>8</v>
          </cell>
          <cell r="J51">
            <v>8</v>
          </cell>
          <cell r="K51">
            <v>8</v>
          </cell>
          <cell r="L51">
            <v>8</v>
          </cell>
          <cell r="M51">
            <v>8</v>
          </cell>
          <cell r="N51">
            <v>8</v>
          </cell>
          <cell r="O51">
            <v>8</v>
          </cell>
        </row>
        <row r="52">
          <cell r="A52">
            <v>3</v>
          </cell>
          <cell r="B52">
            <v>8</v>
          </cell>
          <cell r="C52">
            <v>8</v>
          </cell>
          <cell r="D52">
            <v>8</v>
          </cell>
          <cell r="E52">
            <v>8</v>
          </cell>
          <cell r="F52">
            <v>8</v>
          </cell>
          <cell r="G52">
            <v>8</v>
          </cell>
          <cell r="H52">
            <v>8</v>
          </cell>
          <cell r="I52">
            <v>8</v>
          </cell>
          <cell r="J52">
            <v>8</v>
          </cell>
          <cell r="K52">
            <v>8</v>
          </cell>
          <cell r="L52">
            <v>8</v>
          </cell>
          <cell r="M52">
            <v>8</v>
          </cell>
          <cell r="N52">
            <v>8</v>
          </cell>
          <cell r="O52">
            <v>8</v>
          </cell>
        </row>
        <row r="53">
          <cell r="A53">
            <v>4</v>
          </cell>
          <cell r="B53">
            <v>8</v>
          </cell>
          <cell r="C53">
            <v>8</v>
          </cell>
          <cell r="D53">
            <v>8</v>
          </cell>
          <cell r="E53">
            <v>8</v>
          </cell>
          <cell r="F53">
            <v>8</v>
          </cell>
          <cell r="G53">
            <v>8</v>
          </cell>
          <cell r="H53">
            <v>8</v>
          </cell>
          <cell r="I53">
            <v>8</v>
          </cell>
          <cell r="J53">
            <v>8</v>
          </cell>
          <cell r="K53">
            <v>8</v>
          </cell>
          <cell r="L53">
            <v>8</v>
          </cell>
          <cell r="M53">
            <v>8</v>
          </cell>
          <cell r="N53">
            <v>8</v>
          </cell>
          <cell r="O53">
            <v>8</v>
          </cell>
        </row>
        <row r="54">
          <cell r="A54">
            <v>5</v>
          </cell>
          <cell r="B54">
            <v>8</v>
          </cell>
          <cell r="C54">
            <v>8</v>
          </cell>
          <cell r="D54">
            <v>8</v>
          </cell>
          <cell r="E54">
            <v>8</v>
          </cell>
          <cell r="F54">
            <v>8</v>
          </cell>
          <cell r="G54">
            <v>8</v>
          </cell>
          <cell r="H54">
            <v>8</v>
          </cell>
          <cell r="I54">
            <v>8</v>
          </cell>
          <cell r="J54">
            <v>8</v>
          </cell>
          <cell r="K54">
            <v>8</v>
          </cell>
          <cell r="L54">
            <v>8</v>
          </cell>
          <cell r="M54">
            <v>8</v>
          </cell>
          <cell r="N54">
            <v>8</v>
          </cell>
          <cell r="O54">
            <v>8</v>
          </cell>
        </row>
        <row r="55">
          <cell r="A55">
            <v>6</v>
          </cell>
          <cell r="B55">
            <v>8</v>
          </cell>
          <cell r="C55">
            <v>8</v>
          </cell>
          <cell r="D55">
            <v>8</v>
          </cell>
          <cell r="E55">
            <v>8</v>
          </cell>
          <cell r="F55">
            <v>8</v>
          </cell>
          <cell r="G55">
            <v>8</v>
          </cell>
          <cell r="H55">
            <v>8</v>
          </cell>
          <cell r="I55">
            <v>8</v>
          </cell>
          <cell r="J55">
            <v>8</v>
          </cell>
          <cell r="K55">
            <v>8</v>
          </cell>
          <cell r="L55">
            <v>8</v>
          </cell>
          <cell r="M55">
            <v>8</v>
          </cell>
          <cell r="N55">
            <v>8</v>
          </cell>
          <cell r="O55">
            <v>8</v>
          </cell>
        </row>
        <row r="56">
          <cell r="A56" t="str">
            <v>Direktoren</v>
          </cell>
          <cell r="B56"/>
          <cell r="C56"/>
          <cell r="D56"/>
          <cell r="E56"/>
          <cell r="F56"/>
          <cell r="G56"/>
          <cell r="H56"/>
          <cell r="I56"/>
          <cell r="J56"/>
          <cell r="K56"/>
          <cell r="L56"/>
          <cell r="M56"/>
          <cell r="N56"/>
          <cell r="O56"/>
        </row>
        <row r="57">
          <cell r="A57"/>
          <cell r="B57"/>
          <cell r="C57">
            <v>0</v>
          </cell>
          <cell r="D57">
            <v>0</v>
          </cell>
          <cell r="E57">
            <v>0</v>
          </cell>
          <cell r="F57">
            <v>0</v>
          </cell>
          <cell r="G57">
            <v>0</v>
          </cell>
          <cell r="H57">
            <v>0</v>
          </cell>
          <cell r="I57"/>
          <cell r="J57">
            <v>0</v>
          </cell>
          <cell r="K57">
            <v>0</v>
          </cell>
          <cell r="L57">
            <v>0</v>
          </cell>
          <cell r="M57">
            <v>0</v>
          </cell>
          <cell r="N57">
            <v>0</v>
          </cell>
          <cell r="O57">
            <v>0</v>
          </cell>
        </row>
        <row r="63">
          <cell r="A63" t="str">
            <v>Q</v>
          </cell>
          <cell r="B63">
            <v>25.46</v>
          </cell>
          <cell r="C63">
            <v>25.46</v>
          </cell>
          <cell r="D63">
            <v>25.46</v>
          </cell>
          <cell r="E63">
            <v>25.46</v>
          </cell>
          <cell r="F63">
            <v>25.46</v>
          </cell>
          <cell r="G63">
            <v>25.46</v>
          </cell>
          <cell r="H63">
            <v>25.46</v>
          </cell>
          <cell r="I63">
            <v>25.46</v>
          </cell>
          <cell r="J63">
            <v>25.46</v>
          </cell>
          <cell r="K63">
            <v>25.46</v>
          </cell>
          <cell r="L63">
            <v>25.46</v>
          </cell>
          <cell r="M63">
            <v>25.46</v>
          </cell>
          <cell r="N63">
            <v>25.46</v>
          </cell>
          <cell r="O63">
            <v>25.46</v>
          </cell>
        </row>
        <row r="64">
          <cell r="A64">
            <v>1</v>
          </cell>
          <cell r="B64">
            <v>24.84</v>
          </cell>
          <cell r="C64">
            <v>24.84</v>
          </cell>
          <cell r="D64">
            <v>24.84</v>
          </cell>
          <cell r="E64">
            <v>24.84</v>
          </cell>
          <cell r="F64">
            <v>24.84</v>
          </cell>
          <cell r="G64">
            <v>24.84</v>
          </cell>
          <cell r="H64">
            <v>24.84</v>
          </cell>
          <cell r="I64">
            <v>24.84</v>
          </cell>
          <cell r="J64">
            <v>24.84</v>
          </cell>
          <cell r="K64">
            <v>24.84</v>
          </cell>
          <cell r="L64">
            <v>24.84</v>
          </cell>
          <cell r="M64">
            <v>24.84</v>
          </cell>
          <cell r="N64">
            <v>24.84</v>
          </cell>
          <cell r="O64">
            <v>24.84</v>
          </cell>
        </row>
        <row r="65">
          <cell r="A65">
            <v>2</v>
          </cell>
          <cell r="B65">
            <v>22.83</v>
          </cell>
          <cell r="C65">
            <v>22.83</v>
          </cell>
          <cell r="D65">
            <v>22.83</v>
          </cell>
          <cell r="E65">
            <v>22.83</v>
          </cell>
          <cell r="F65">
            <v>22.83</v>
          </cell>
          <cell r="G65">
            <v>22.83</v>
          </cell>
          <cell r="H65">
            <v>22.83</v>
          </cell>
          <cell r="I65">
            <v>22.83</v>
          </cell>
          <cell r="J65">
            <v>22.83</v>
          </cell>
          <cell r="K65">
            <v>22.83</v>
          </cell>
          <cell r="L65">
            <v>22.83</v>
          </cell>
          <cell r="M65">
            <v>22.83</v>
          </cell>
          <cell r="N65">
            <v>22.83</v>
          </cell>
          <cell r="O65">
            <v>22.83</v>
          </cell>
        </row>
        <row r="66">
          <cell r="A66">
            <v>3</v>
          </cell>
          <cell r="B66">
            <v>21.95</v>
          </cell>
          <cell r="C66">
            <v>21.95</v>
          </cell>
          <cell r="D66">
            <v>21.95</v>
          </cell>
          <cell r="E66">
            <v>21.95</v>
          </cell>
          <cell r="F66">
            <v>21.95</v>
          </cell>
          <cell r="G66">
            <v>21.95</v>
          </cell>
          <cell r="H66">
            <v>21.95</v>
          </cell>
          <cell r="I66">
            <v>21.95</v>
          </cell>
          <cell r="J66">
            <v>21.95</v>
          </cell>
          <cell r="K66">
            <v>21.95</v>
          </cell>
          <cell r="L66">
            <v>21.95</v>
          </cell>
          <cell r="M66">
            <v>21.95</v>
          </cell>
          <cell r="N66">
            <v>21.95</v>
          </cell>
          <cell r="O66">
            <v>21.95</v>
          </cell>
        </row>
        <row r="67">
          <cell r="A67">
            <v>4</v>
          </cell>
          <cell r="B67">
            <v>20.66</v>
          </cell>
          <cell r="C67">
            <v>20.66</v>
          </cell>
          <cell r="D67">
            <v>20.66</v>
          </cell>
          <cell r="E67">
            <v>20.66</v>
          </cell>
          <cell r="F67">
            <v>20.66</v>
          </cell>
          <cell r="G67">
            <v>20.66</v>
          </cell>
          <cell r="H67">
            <v>20.66</v>
          </cell>
          <cell r="I67">
            <v>20.66</v>
          </cell>
          <cell r="J67">
            <v>20.66</v>
          </cell>
          <cell r="K67">
            <v>20.66</v>
          </cell>
          <cell r="L67">
            <v>20.66</v>
          </cell>
          <cell r="M67">
            <v>20.66</v>
          </cell>
          <cell r="N67">
            <v>20.66</v>
          </cell>
          <cell r="O67">
            <v>20.66</v>
          </cell>
        </row>
        <row r="68">
          <cell r="A68">
            <v>5</v>
          </cell>
          <cell r="B68">
            <v>20.3</v>
          </cell>
          <cell r="C68">
            <v>20.3</v>
          </cell>
          <cell r="D68">
            <v>20.3</v>
          </cell>
          <cell r="E68">
            <v>20.3</v>
          </cell>
          <cell r="F68">
            <v>20.3</v>
          </cell>
          <cell r="G68">
            <v>20.3</v>
          </cell>
          <cell r="H68">
            <v>20.3</v>
          </cell>
          <cell r="I68">
            <v>20.3</v>
          </cell>
          <cell r="J68">
            <v>20.3</v>
          </cell>
          <cell r="K68">
            <v>20.3</v>
          </cell>
          <cell r="L68">
            <v>20.3</v>
          </cell>
          <cell r="M68">
            <v>20.3</v>
          </cell>
          <cell r="N68">
            <v>20.3</v>
          </cell>
          <cell r="O68">
            <v>20.3</v>
          </cell>
        </row>
        <row r="69">
          <cell r="A69">
            <v>6</v>
          </cell>
          <cell r="B69">
            <v>19.73</v>
          </cell>
          <cell r="C69">
            <v>19.73</v>
          </cell>
          <cell r="D69">
            <v>19.73</v>
          </cell>
          <cell r="E69">
            <v>19.73</v>
          </cell>
          <cell r="F69">
            <v>19.73</v>
          </cell>
          <cell r="G69">
            <v>19.73</v>
          </cell>
          <cell r="H69">
            <v>19.73</v>
          </cell>
          <cell r="I69">
            <v>19.73</v>
          </cell>
          <cell r="J69">
            <v>19.73</v>
          </cell>
          <cell r="K69">
            <v>19.73</v>
          </cell>
          <cell r="L69">
            <v>19.73</v>
          </cell>
          <cell r="M69">
            <v>19.73</v>
          </cell>
          <cell r="N69">
            <v>19.73</v>
          </cell>
          <cell r="O69">
            <v>19.73</v>
          </cell>
        </row>
        <row r="70">
          <cell r="A70" t="str">
            <v>Direktoren</v>
          </cell>
          <cell r="B70"/>
          <cell r="C70"/>
          <cell r="D70"/>
          <cell r="E70"/>
          <cell r="F70"/>
          <cell r="G70"/>
          <cell r="H70"/>
          <cell r="I70"/>
          <cell r="J70"/>
          <cell r="K70"/>
          <cell r="L70"/>
          <cell r="M70"/>
          <cell r="N70"/>
          <cell r="O70"/>
        </row>
        <row r="71">
          <cell r="A71"/>
          <cell r="B71"/>
          <cell r="C71">
            <v>0</v>
          </cell>
          <cell r="D71">
            <v>0</v>
          </cell>
          <cell r="E71">
            <v>0</v>
          </cell>
          <cell r="F71">
            <v>0</v>
          </cell>
          <cell r="G71">
            <v>0</v>
          </cell>
          <cell r="H71">
            <v>0</v>
          </cell>
          <cell r="I71">
            <v>0</v>
          </cell>
          <cell r="J71">
            <v>0</v>
          </cell>
          <cell r="K71">
            <v>0</v>
          </cell>
          <cell r="L71">
            <v>0</v>
          </cell>
          <cell r="M71">
            <v>0</v>
          </cell>
          <cell r="N71">
            <v>0</v>
          </cell>
          <cell r="O71">
            <v>0</v>
          </cell>
        </row>
        <row r="77">
          <cell r="A77" t="str">
            <v>Q</v>
          </cell>
          <cell r="B77">
            <v>0</v>
          </cell>
          <cell r="C77">
            <v>0</v>
          </cell>
          <cell r="D77">
            <v>0</v>
          </cell>
          <cell r="E77">
            <v>0</v>
          </cell>
          <cell r="F77">
            <v>0</v>
          </cell>
          <cell r="G77">
            <v>0</v>
          </cell>
          <cell r="H77">
            <v>0</v>
          </cell>
          <cell r="I77">
            <v>0</v>
          </cell>
          <cell r="J77">
            <v>0</v>
          </cell>
          <cell r="K77">
            <v>0</v>
          </cell>
          <cell r="L77">
            <v>0</v>
          </cell>
          <cell r="M77">
            <v>0</v>
          </cell>
          <cell r="N77">
            <v>0</v>
          </cell>
          <cell r="O77">
            <v>0</v>
          </cell>
        </row>
        <row r="78">
          <cell r="A78">
            <v>1</v>
          </cell>
          <cell r="B78">
            <v>0</v>
          </cell>
          <cell r="C78">
            <v>0</v>
          </cell>
          <cell r="D78">
            <v>0</v>
          </cell>
          <cell r="E78">
            <v>0</v>
          </cell>
          <cell r="F78">
            <v>0</v>
          </cell>
          <cell r="G78">
            <v>0</v>
          </cell>
          <cell r="H78">
            <v>0</v>
          </cell>
          <cell r="I78">
            <v>0</v>
          </cell>
          <cell r="J78">
            <v>0</v>
          </cell>
          <cell r="K78">
            <v>0</v>
          </cell>
          <cell r="L78">
            <v>0</v>
          </cell>
          <cell r="M78">
            <v>0</v>
          </cell>
          <cell r="N78">
            <v>0</v>
          </cell>
          <cell r="O78">
            <v>0</v>
          </cell>
        </row>
        <row r="79">
          <cell r="A79">
            <v>2</v>
          </cell>
          <cell r="B79">
            <v>0</v>
          </cell>
          <cell r="C79">
            <v>0</v>
          </cell>
          <cell r="D79">
            <v>0</v>
          </cell>
          <cell r="E79">
            <v>0</v>
          </cell>
          <cell r="F79">
            <v>0</v>
          </cell>
          <cell r="G79">
            <v>0</v>
          </cell>
          <cell r="H79">
            <v>0</v>
          </cell>
          <cell r="I79">
            <v>0</v>
          </cell>
          <cell r="J79">
            <v>0</v>
          </cell>
          <cell r="K79">
            <v>0</v>
          </cell>
          <cell r="L79">
            <v>0</v>
          </cell>
          <cell r="M79">
            <v>0</v>
          </cell>
          <cell r="N79">
            <v>0</v>
          </cell>
          <cell r="O79">
            <v>0</v>
          </cell>
        </row>
        <row r="80">
          <cell r="A80">
            <v>3</v>
          </cell>
          <cell r="B80">
            <v>0</v>
          </cell>
          <cell r="C80">
            <v>0</v>
          </cell>
          <cell r="D80">
            <v>0</v>
          </cell>
          <cell r="E80">
            <v>0</v>
          </cell>
          <cell r="F80">
            <v>0</v>
          </cell>
          <cell r="G80">
            <v>0</v>
          </cell>
          <cell r="H80">
            <v>0</v>
          </cell>
          <cell r="I80">
            <v>0</v>
          </cell>
          <cell r="J80">
            <v>0</v>
          </cell>
          <cell r="K80">
            <v>0</v>
          </cell>
          <cell r="L80">
            <v>0</v>
          </cell>
          <cell r="M80">
            <v>0</v>
          </cell>
          <cell r="N80">
            <v>0</v>
          </cell>
          <cell r="O80">
            <v>0</v>
          </cell>
        </row>
        <row r="81">
          <cell r="A81">
            <v>4</v>
          </cell>
          <cell r="B81">
            <v>0</v>
          </cell>
          <cell r="C81">
            <v>0</v>
          </cell>
          <cell r="D81">
            <v>0</v>
          </cell>
          <cell r="E81">
            <v>0</v>
          </cell>
          <cell r="F81">
            <v>0</v>
          </cell>
          <cell r="G81">
            <v>0</v>
          </cell>
          <cell r="H81">
            <v>0</v>
          </cell>
          <cell r="I81">
            <v>0</v>
          </cell>
          <cell r="J81">
            <v>0</v>
          </cell>
          <cell r="K81">
            <v>0</v>
          </cell>
          <cell r="L81">
            <v>0</v>
          </cell>
          <cell r="M81">
            <v>0</v>
          </cell>
          <cell r="N81">
            <v>0</v>
          </cell>
          <cell r="O81">
            <v>0</v>
          </cell>
        </row>
        <row r="82">
          <cell r="A82">
            <v>5</v>
          </cell>
          <cell r="B82">
            <v>0</v>
          </cell>
          <cell r="C82">
            <v>0</v>
          </cell>
          <cell r="D82">
            <v>0</v>
          </cell>
          <cell r="E82">
            <v>0</v>
          </cell>
          <cell r="F82">
            <v>0</v>
          </cell>
          <cell r="G82">
            <v>0</v>
          </cell>
          <cell r="H82">
            <v>0</v>
          </cell>
          <cell r="I82">
            <v>0</v>
          </cell>
          <cell r="J82">
            <v>0</v>
          </cell>
          <cell r="K82">
            <v>0</v>
          </cell>
          <cell r="L82">
            <v>0</v>
          </cell>
          <cell r="M82">
            <v>0</v>
          </cell>
          <cell r="N82">
            <v>0</v>
          </cell>
          <cell r="O82">
            <v>0</v>
          </cell>
        </row>
        <row r="83">
          <cell r="A83">
            <v>6</v>
          </cell>
          <cell r="B83">
            <v>0</v>
          </cell>
          <cell r="C83">
            <v>0</v>
          </cell>
          <cell r="D83">
            <v>0</v>
          </cell>
          <cell r="E83">
            <v>0</v>
          </cell>
          <cell r="F83">
            <v>0</v>
          </cell>
          <cell r="G83">
            <v>0</v>
          </cell>
          <cell r="H83">
            <v>0</v>
          </cell>
          <cell r="I83">
            <v>0</v>
          </cell>
          <cell r="J83">
            <v>0</v>
          </cell>
          <cell r="K83">
            <v>0</v>
          </cell>
          <cell r="L83">
            <v>0</v>
          </cell>
          <cell r="M83">
            <v>0</v>
          </cell>
          <cell r="N83">
            <v>0</v>
          </cell>
          <cell r="O83">
            <v>0</v>
          </cell>
        </row>
        <row r="84">
          <cell r="A84" t="str">
            <v>Direktoren</v>
          </cell>
          <cell r="B84"/>
          <cell r="C84">
            <v>0</v>
          </cell>
          <cell r="D84">
            <v>0</v>
          </cell>
          <cell r="E84">
            <v>0</v>
          </cell>
          <cell r="F84">
            <v>0</v>
          </cell>
          <cell r="G84">
            <v>0</v>
          </cell>
          <cell r="H84">
            <v>0</v>
          </cell>
          <cell r="I84">
            <v>0</v>
          </cell>
          <cell r="J84">
            <v>0</v>
          </cell>
          <cell r="K84">
            <v>0</v>
          </cell>
          <cell r="L84">
            <v>0</v>
          </cell>
          <cell r="M84">
            <v>0</v>
          </cell>
          <cell r="N84">
            <v>0</v>
          </cell>
          <cell r="O84">
            <v>0</v>
          </cell>
        </row>
        <row r="85">
          <cell r="A85"/>
          <cell r="B85"/>
          <cell r="C85">
            <v>0</v>
          </cell>
          <cell r="D85">
            <v>0</v>
          </cell>
          <cell r="E85">
            <v>0</v>
          </cell>
          <cell r="F85">
            <v>0</v>
          </cell>
          <cell r="G85">
            <v>0</v>
          </cell>
          <cell r="H85">
            <v>0</v>
          </cell>
          <cell r="I85">
            <v>0</v>
          </cell>
          <cell r="J85">
            <v>0</v>
          </cell>
          <cell r="K85">
            <v>0</v>
          </cell>
          <cell r="L85">
            <v>0</v>
          </cell>
          <cell r="M85">
            <v>0</v>
          </cell>
          <cell r="N85">
            <v>0</v>
          </cell>
          <cell r="O85">
            <v>0</v>
          </cell>
        </row>
      </sheetData>
      <sheetData sheetId="5">
        <row r="1">
          <cell r="A1" t="str">
            <v xml:space="preserve">Beschreibung Lohnelemente  </v>
          </cell>
        </row>
        <row r="2">
          <cell r="A2" t="str">
            <v>Descrizione elementi di retribuzione</v>
          </cell>
        </row>
        <row r="3">
          <cell r="A3"/>
        </row>
        <row r="4">
          <cell r="A4" t="str">
            <v>Normalentlohnung</v>
          </cell>
        </row>
        <row r="5">
          <cell r="A5" t="str">
            <v>Genossener Urlaub</v>
          </cell>
        </row>
        <row r="6">
          <cell r="A6" t="str">
            <v>Genossene Freistellungen</v>
          </cell>
        </row>
        <row r="7">
          <cell r="A7" t="str">
            <v>Nicht genossener Urlaub</v>
          </cell>
        </row>
        <row r="8">
          <cell r="A8" t="str">
            <v>Nicht genossene Freistellungen</v>
          </cell>
        </row>
        <row r="9">
          <cell r="A9" t="str">
            <v>Nicht genossene Feiertage</v>
          </cell>
        </row>
        <row r="10">
          <cell r="A10" t="str">
            <v>Zulage für Kassarisiko</v>
          </cell>
        </row>
        <row r="12">
          <cell r="A12" t="str">
            <v xml:space="preserve">Überstunden 15%  </v>
          </cell>
          <cell r="E12">
            <v>0.15</v>
          </cell>
        </row>
        <row r="13">
          <cell r="A13" t="str">
            <v xml:space="preserve">Überstunden 20%  </v>
          </cell>
          <cell r="E13">
            <v>0.2</v>
          </cell>
        </row>
        <row r="14">
          <cell r="A14" t="str">
            <v xml:space="preserve">Überstunden 30%  </v>
          </cell>
          <cell r="E14">
            <v>0.3</v>
          </cell>
        </row>
        <row r="15">
          <cell r="A15" t="str">
            <v xml:space="preserve">Überstunden 50%  </v>
          </cell>
          <cell r="E15">
            <v>0.5</v>
          </cell>
        </row>
        <row r="16">
          <cell r="A16" t="str">
            <v>Nachtstunden 50%</v>
          </cell>
          <cell r="E16">
            <v>0.5</v>
          </cell>
        </row>
        <row r="17">
          <cell r="E17"/>
        </row>
        <row r="18">
          <cell r="A18" t="str">
            <v>Krankheit gesamt</v>
          </cell>
          <cell r="E18"/>
        </row>
        <row r="19">
          <cell r="A19" t="str">
            <v xml:space="preserve">Krankheit INPS-Anteil 50,00% </v>
          </cell>
          <cell r="E19">
            <v>-0.5</v>
          </cell>
        </row>
        <row r="20">
          <cell r="A20" t="str">
            <v xml:space="preserve">Krankheit INPS-Anteil 66,67% </v>
          </cell>
          <cell r="E20">
            <v>-0.66669999999999996</v>
          </cell>
        </row>
        <row r="21">
          <cell r="A21" t="str">
            <v>Mutterschaft Gesamtbetrag</v>
          </cell>
          <cell r="E21"/>
        </row>
        <row r="22">
          <cell r="A22" t="str">
            <v>Mutterschaft INPS-Anteil 80,00%</v>
          </cell>
          <cell r="E22">
            <v>-0.8</v>
          </cell>
        </row>
        <row r="23">
          <cell r="A23" t="str">
            <v>Abzug Bruttoberechnung Krankengeld INPS</v>
          </cell>
          <cell r="E23">
            <v>0.10120030833608633</v>
          </cell>
        </row>
        <row r="25">
          <cell r="A25" t="str">
            <v xml:space="preserve">13. Monatsgehalt  </v>
          </cell>
        </row>
        <row r="26">
          <cell r="A26" t="str">
            <v xml:space="preserve">14. Monatsgehalt  </v>
          </cell>
        </row>
        <row r="27">
          <cell r="A27" t="str">
            <v xml:space="preserve">Nichteinhaltung Kündigungsfrist  </v>
          </cell>
        </row>
        <row r="28">
          <cell r="A28" t="str">
            <v>Una Tantum</v>
          </cell>
        </row>
        <row r="29">
          <cell r="A29" t="str">
            <v>Prämie</v>
          </cell>
        </row>
        <row r="32">
          <cell r="A32" t="str">
            <v xml:space="preserve">Retribuzione ordinaria </v>
          </cell>
        </row>
        <row r="33">
          <cell r="A33" t="str">
            <v>Ferie godute</v>
          </cell>
        </row>
        <row r="34">
          <cell r="A34" t="str">
            <v>Permessi goduti</v>
          </cell>
        </row>
        <row r="35">
          <cell r="A35" t="str">
            <v>Ferie non godute</v>
          </cell>
        </row>
        <row r="36">
          <cell r="A36" t="str">
            <v>Ferie non godute</v>
          </cell>
        </row>
        <row r="37">
          <cell r="A37" t="str">
            <v>Festività non godute</v>
          </cell>
        </row>
        <row r="38">
          <cell r="A38" t="str">
            <v>Indennità rischio cassa</v>
          </cell>
        </row>
        <row r="40">
          <cell r="A40" t="str">
            <v>Ore straordinarie 15%</v>
          </cell>
          <cell r="E40">
            <v>0.15</v>
          </cell>
        </row>
        <row r="41">
          <cell r="A41" t="str">
            <v>Ore straordinarie 20%</v>
          </cell>
          <cell r="E41">
            <v>0.2</v>
          </cell>
        </row>
        <row r="42">
          <cell r="A42" t="str">
            <v>Ore straordinarie 30%</v>
          </cell>
          <cell r="E42">
            <v>0.3</v>
          </cell>
        </row>
        <row r="43">
          <cell r="A43" t="str">
            <v>Ore straordinarie 50%</v>
          </cell>
          <cell r="E43">
            <v>0.5</v>
          </cell>
        </row>
        <row r="44">
          <cell r="A44" t="str">
            <v>Ore notturne 50%</v>
          </cell>
          <cell r="E44">
            <v>0.5</v>
          </cell>
        </row>
        <row r="45">
          <cell r="E45"/>
        </row>
        <row r="46">
          <cell r="A46" t="str">
            <v>Indennità di malattia totale</v>
          </cell>
          <cell r="E46"/>
        </row>
        <row r="47">
          <cell r="A47" t="str">
            <v>Indennità di malattia quota INPS 50%</v>
          </cell>
          <cell r="E47">
            <v>-0.5</v>
          </cell>
        </row>
        <row r="48">
          <cell r="A48" t="str">
            <v>Indennità di malattia quota INPS 66,67%</v>
          </cell>
          <cell r="E48">
            <v>-0.66669999999999996</v>
          </cell>
        </row>
        <row r="49">
          <cell r="A49" t="str">
            <v>Indennità di maternità importo totale</v>
          </cell>
          <cell r="E49"/>
        </row>
        <row r="50">
          <cell r="A50" t="str">
            <v>Indennità di maternità quota INPS 80,00%</v>
          </cell>
          <cell r="E50">
            <v>-0.8</v>
          </cell>
        </row>
        <row r="51">
          <cell r="A51" t="str">
            <v>Lordizzazione indennità malattia quota INPS</v>
          </cell>
          <cell r="E51">
            <v>0.1012</v>
          </cell>
        </row>
        <row r="53">
          <cell r="A53" t="str">
            <v>13a mensilità</v>
          </cell>
        </row>
        <row r="54">
          <cell r="A54" t="str">
            <v>14a mensilità</v>
          </cell>
        </row>
        <row r="55">
          <cell r="A55" t="str">
            <v>Mancato rispetto periodo preavviso licenziamento</v>
          </cell>
        </row>
        <row r="56">
          <cell r="A56" t="str">
            <v>Una Tantum</v>
          </cell>
        </row>
        <row r="57">
          <cell r="A57" t="str">
            <v>Premio</v>
          </cell>
        </row>
      </sheetData>
      <sheetData sheetId="6">
        <row r="8">
          <cell r="A8">
            <v>0</v>
          </cell>
          <cell r="D8">
            <v>15000</v>
          </cell>
          <cell r="E8">
            <v>0</v>
          </cell>
          <cell r="F8">
            <v>1250</v>
          </cell>
          <cell r="G8">
            <v>0.23</v>
          </cell>
        </row>
        <row r="9">
          <cell r="A9">
            <v>15000.01</v>
          </cell>
          <cell r="D9">
            <v>28000</v>
          </cell>
          <cell r="E9">
            <v>1250.01</v>
          </cell>
          <cell r="F9">
            <v>2333.33</v>
          </cell>
          <cell r="G9">
            <v>0.23</v>
          </cell>
        </row>
        <row r="10">
          <cell r="A10">
            <v>28000.01</v>
          </cell>
          <cell r="D10">
            <v>50000</v>
          </cell>
          <cell r="E10">
            <v>2333.34</v>
          </cell>
          <cell r="F10">
            <v>4166.67</v>
          </cell>
          <cell r="G10">
            <v>0.35</v>
          </cell>
        </row>
        <row r="11">
          <cell r="A11">
            <v>50000.01</v>
          </cell>
          <cell r="D11"/>
          <cell r="E11">
            <v>4166.68</v>
          </cell>
          <cell r="F11"/>
          <cell r="G11">
            <v>0.43</v>
          </cell>
        </row>
        <row r="12">
          <cell r="A12"/>
          <cell r="E12"/>
          <cell r="G12"/>
        </row>
        <row r="13">
          <cell r="E13"/>
          <cell r="G13"/>
        </row>
        <row r="140">
          <cell r="G140">
            <v>168</v>
          </cell>
        </row>
        <row r="141">
          <cell r="G141">
            <v>26</v>
          </cell>
        </row>
        <row r="142">
          <cell r="G142">
            <v>0.17</v>
          </cell>
        </row>
      </sheetData>
    </sheetDataSet>
  </externalBook>
</externalLink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trlProp" Target="../ctrlProps/ctrlProp1.xm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Relationship Id="rId4" Type="http://schemas.openxmlformats.org/officeDocument/2006/relationships/ctrlProp" Target="../ctrlProps/ctrlProp10.xml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Relationship Id="rId4" Type="http://schemas.openxmlformats.org/officeDocument/2006/relationships/ctrlProp" Target="../ctrlProps/ctrlProp11.xml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2.vml"/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Relationship Id="rId4" Type="http://schemas.openxmlformats.org/officeDocument/2006/relationships/ctrlProp" Target="../ctrlProps/ctrlProp12.xml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Relationship Id="rId4" Type="http://schemas.openxmlformats.org/officeDocument/2006/relationships/ctrlProp" Target="../ctrlProps/ctrlProp13.xml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4.vml"/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Relationship Id="rId4" Type="http://schemas.openxmlformats.org/officeDocument/2006/relationships/ctrlProp" Target="../ctrlProps/ctrlProp14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trlProp" Target="../ctrlProps/ctrlProp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trlProp" Target="../ctrlProps/ctrlProp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4" Type="http://schemas.openxmlformats.org/officeDocument/2006/relationships/ctrlProp" Target="../ctrlProps/ctrlProp4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4" Type="http://schemas.openxmlformats.org/officeDocument/2006/relationships/ctrlProp" Target="../ctrlProps/ctrlProp5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Relationship Id="rId4" Type="http://schemas.openxmlformats.org/officeDocument/2006/relationships/ctrlProp" Target="../ctrlProps/ctrlProp6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Relationship Id="rId4" Type="http://schemas.openxmlformats.org/officeDocument/2006/relationships/ctrlProp" Target="../ctrlProps/ctrlProp7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Relationship Id="rId4" Type="http://schemas.openxmlformats.org/officeDocument/2006/relationships/ctrlProp" Target="../ctrlProps/ctrlProp8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Relationship Id="rId4" Type="http://schemas.openxmlformats.org/officeDocument/2006/relationships/ctrlProp" Target="../ctrlProps/ctrlProp9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Z161"/>
  <sheetViews>
    <sheetView showGridLines="0" showZeros="0" tabSelected="1" zoomScaleNormal="100" workbookViewId="0"/>
  </sheetViews>
  <sheetFormatPr baseColWidth="10" defaultColWidth="11.5703125" defaultRowHeight="12.75" x14ac:dyDescent="0.2"/>
  <cols>
    <col min="1" max="1" width="11.28515625" customWidth="1"/>
    <col min="2" max="2" width="11.7109375" customWidth="1"/>
    <col min="3" max="3" width="10.85546875" customWidth="1"/>
    <col min="4" max="4" width="11.28515625" customWidth="1"/>
    <col min="5" max="5" width="5.42578125" customWidth="1"/>
    <col min="6" max="6" width="6" customWidth="1"/>
    <col min="7" max="7" width="11.140625" customWidth="1"/>
    <col min="8" max="8" width="9.85546875" customWidth="1"/>
    <col min="9" max="9" width="9.140625" customWidth="1"/>
    <col min="10" max="10" width="2.5703125" style="277" customWidth="1"/>
    <col min="11" max="15" width="2.140625" customWidth="1"/>
    <col min="16" max="16" width="2.28515625" customWidth="1"/>
    <col min="17" max="17" width="11.28515625" customWidth="1"/>
    <col min="18" max="18" width="10.7109375" customWidth="1"/>
    <col min="19" max="19" width="9" bestFit="1" customWidth="1"/>
    <col min="20" max="20" width="11.28515625" bestFit="1" customWidth="1"/>
    <col min="21" max="21" width="8.5703125" bestFit="1" customWidth="1"/>
    <col min="22" max="22" width="9.5703125" customWidth="1"/>
    <col min="23" max="24" width="10.7109375" customWidth="1"/>
  </cols>
  <sheetData>
    <row r="1" spans="1:26" s="144" customFormat="1" ht="16.5" customHeight="1" x14ac:dyDescent="0.2">
      <c r="A1" s="316" t="s">
        <v>106</v>
      </c>
      <c r="B1" s="317"/>
      <c r="C1" s="317"/>
      <c r="D1" s="317"/>
      <c r="E1" s="317"/>
      <c r="F1" s="317"/>
      <c r="G1" s="317"/>
      <c r="H1" s="317"/>
      <c r="I1" s="318" t="s">
        <v>47</v>
      </c>
      <c r="J1" s="473">
        <f>[1]Firma!$A$10</f>
        <v>45292</v>
      </c>
      <c r="K1" s="473"/>
      <c r="L1" s="473"/>
      <c r="M1" s="473"/>
      <c r="N1" s="473"/>
      <c r="O1" s="474"/>
      <c r="P1" s="143"/>
      <c r="Q1" s="143"/>
      <c r="R1" s="143"/>
      <c r="S1" s="143"/>
      <c r="T1" s="143"/>
      <c r="U1" s="143"/>
      <c r="V1" s="143"/>
      <c r="W1" s="143"/>
      <c r="X1" s="143"/>
      <c r="Y1" s="143"/>
      <c r="Z1" s="143"/>
    </row>
    <row r="2" spans="1:26" s="124" customFormat="1" ht="12.75" customHeight="1" x14ac:dyDescent="0.2">
      <c r="A2" s="199" t="s">
        <v>107</v>
      </c>
      <c r="B2" s="200"/>
      <c r="C2" s="200"/>
      <c r="D2" s="201"/>
      <c r="E2" s="188" t="s">
        <v>132</v>
      </c>
      <c r="F2" s="202"/>
      <c r="G2" s="200"/>
      <c r="H2" s="200"/>
      <c r="I2" s="203"/>
      <c r="J2" s="302"/>
      <c r="K2" s="201"/>
      <c r="L2" s="201"/>
      <c r="M2" s="201"/>
      <c r="N2" s="200"/>
      <c r="O2" s="303"/>
      <c r="P2" s="121"/>
      <c r="Q2" s="121"/>
      <c r="R2" s="121"/>
      <c r="S2" s="121"/>
      <c r="T2" s="121"/>
      <c r="U2" s="121"/>
      <c r="V2" s="121"/>
      <c r="W2" s="121"/>
      <c r="X2" s="121"/>
      <c r="Y2" s="121"/>
      <c r="Z2" s="121"/>
    </row>
    <row r="3" spans="1:26" ht="16.899999999999999" customHeight="1" x14ac:dyDescent="0.2">
      <c r="A3" s="88" t="s">
        <v>100</v>
      </c>
      <c r="B3" s="83" t="str">
        <f>[1]Firma!$A$4</f>
        <v>Asues GmbH</v>
      </c>
      <c r="C3" s="1"/>
      <c r="D3" s="1"/>
      <c r="E3" s="555" t="s">
        <v>126</v>
      </c>
      <c r="F3" s="556"/>
      <c r="G3" s="72" t="str">
        <f>VLOOKUP(P3,'[1]Mit-1'!$A$5:$B$19,2,FALSE)</f>
        <v>AAAAA BBBBB</v>
      </c>
      <c r="H3" s="72"/>
      <c r="I3" s="85"/>
      <c r="J3" s="304"/>
      <c r="K3" s="72"/>
      <c r="L3" s="72"/>
      <c r="M3" s="72"/>
      <c r="N3" s="72"/>
      <c r="O3" s="134"/>
      <c r="P3" s="72">
        <v>1</v>
      </c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0.5" customHeight="1" x14ac:dyDescent="0.2">
      <c r="A4" s="87" t="s">
        <v>101</v>
      </c>
      <c r="B4" s="3" t="str">
        <f>[1]Firma!$B$4</f>
        <v>Josef-Ferrari-Straße 12; 39031 Bruneck (BZ)</v>
      </c>
      <c r="C4" s="3"/>
      <c r="D4" s="3"/>
      <c r="E4" s="187" t="s">
        <v>127</v>
      </c>
      <c r="G4" s="30" t="str">
        <f>VLOOKUP($P$3,'[1]Mit-1'!$A$5:$U$19,3,FALSE)</f>
        <v>Michael-Pacher-Straße 10, 39031 Bruneck</v>
      </c>
      <c r="I4" s="134"/>
      <c r="N4" s="1"/>
      <c r="O4" s="2"/>
      <c r="P4" s="1"/>
      <c r="V4" s="1"/>
      <c r="W4" s="1"/>
      <c r="X4" s="1"/>
      <c r="Y4" s="1"/>
      <c r="Z4" s="1"/>
    </row>
    <row r="5" spans="1:26" ht="16.899999999999999" customHeight="1" x14ac:dyDescent="0.2">
      <c r="A5" s="88" t="s">
        <v>102</v>
      </c>
      <c r="B5" s="288" t="str">
        <f>[1]Firma!$C$4</f>
        <v>IT09997110213</v>
      </c>
      <c r="C5" s="3"/>
      <c r="D5" s="3"/>
      <c r="E5" s="555" t="s">
        <v>103</v>
      </c>
      <c r="F5" s="556"/>
      <c r="G5" s="30" t="str">
        <f>VLOOKUP($P$3,'[1]Mit-1'!$A$5:$U$19,6,FALSE)</f>
        <v>AAABBB84B11B220G</v>
      </c>
      <c r="I5" s="2"/>
      <c r="K5" s="1"/>
      <c r="L5" s="1"/>
      <c r="M5" s="1"/>
      <c r="N5" s="1"/>
      <c r="O5" s="2"/>
      <c r="P5" s="1"/>
      <c r="Q5" s="546" t="s">
        <v>136</v>
      </c>
      <c r="R5" s="547"/>
      <c r="S5" s="548"/>
      <c r="T5" s="1"/>
      <c r="U5" s="1"/>
      <c r="V5" s="1"/>
      <c r="W5" s="1"/>
      <c r="X5" s="1"/>
      <c r="Y5" s="1"/>
      <c r="Z5" s="1"/>
    </row>
    <row r="6" spans="1:26" ht="16.899999999999999" customHeight="1" x14ac:dyDescent="0.2">
      <c r="A6" s="88" t="s">
        <v>103</v>
      </c>
      <c r="B6" s="288" t="str">
        <f>[1]Firma!$D$4</f>
        <v>09997110213</v>
      </c>
      <c r="C6" s="3"/>
      <c r="D6" s="3"/>
      <c r="E6" s="187" t="s">
        <v>128</v>
      </c>
      <c r="G6" s="149">
        <f>VLOOKUP($P$3,'[1]Mit-1'!$A$28:$C$42,3,FALSE)</f>
        <v>1</v>
      </c>
      <c r="H6" s="89" t="s">
        <v>9</v>
      </c>
      <c r="I6" s="54">
        <f>VLOOKUP($P$3,'[1]Mit-1'!$A$5:$U$19,7,FALSE)</f>
        <v>45597</v>
      </c>
      <c r="N6" s="1"/>
      <c r="O6" s="2"/>
      <c r="P6" s="1"/>
      <c r="Q6" s="549"/>
      <c r="R6" s="550"/>
      <c r="S6" s="551"/>
      <c r="T6" s="1"/>
      <c r="U6" s="1"/>
      <c r="V6" s="1"/>
      <c r="W6" s="1"/>
      <c r="X6" s="1"/>
      <c r="Y6" s="1"/>
      <c r="Z6" s="1"/>
    </row>
    <row r="7" spans="1:26" ht="16.899999999999999" customHeight="1" x14ac:dyDescent="0.2">
      <c r="A7" s="87" t="s">
        <v>104</v>
      </c>
      <c r="B7" s="288" t="str">
        <f>[1]Firma!$E$4</f>
        <v>1420030006</v>
      </c>
      <c r="C7" s="3"/>
      <c r="D7" s="3"/>
      <c r="E7" s="555" t="s">
        <v>129</v>
      </c>
      <c r="F7" s="556"/>
      <c r="G7" s="36">
        <f>VLOOKUP($P$3,'[1]Mit-1'!$A$5:$U$19,4,FALSE)</f>
        <v>30723</v>
      </c>
      <c r="H7" s="90" t="s">
        <v>10</v>
      </c>
      <c r="I7" s="53" t="str">
        <f>VLOOKUP($P$3,'[1]Mit-1'!$A$5:$U$19,5,FALSE)</f>
        <v>Bruneck</v>
      </c>
      <c r="N7" s="1"/>
      <c r="O7" s="2"/>
      <c r="P7" s="1"/>
      <c r="Q7" s="552" t="s">
        <v>140</v>
      </c>
      <c r="R7" s="553"/>
      <c r="S7" s="554"/>
      <c r="T7" s="1"/>
      <c r="U7" s="1"/>
      <c r="V7" s="1"/>
      <c r="W7" s="1"/>
      <c r="X7" s="1"/>
      <c r="Y7" s="1"/>
      <c r="Z7" s="1"/>
    </row>
    <row r="8" spans="1:26" ht="16.899999999999999" customHeight="1" x14ac:dyDescent="0.2">
      <c r="A8" s="87" t="s">
        <v>105</v>
      </c>
      <c r="B8" s="288" t="str">
        <f>[1]Firma!$F$4</f>
        <v>13625</v>
      </c>
      <c r="C8" s="3"/>
      <c r="D8" s="3"/>
      <c r="E8" s="555" t="s">
        <v>130</v>
      </c>
      <c r="F8" s="556"/>
      <c r="G8" s="149">
        <f>VLOOKUP($P$3,'[1]Mit-2'!$A$5:$P$19,3,FALSE)</f>
        <v>2</v>
      </c>
      <c r="H8" s="91" t="s">
        <v>231</v>
      </c>
      <c r="I8" s="150">
        <f>VLOOKUP($P$3,'[1]Mit-2'!$A$46:$AD$60,17,FALSE)</f>
        <v>0</v>
      </c>
      <c r="J8" s="475" t="s">
        <v>226</v>
      </c>
      <c r="K8" s="476"/>
      <c r="L8" s="476"/>
      <c r="M8" s="476"/>
      <c r="N8" s="476"/>
      <c r="O8" s="477"/>
      <c r="P8" s="1"/>
      <c r="Q8" s="552"/>
      <c r="R8" s="553"/>
      <c r="S8" s="554"/>
      <c r="T8" s="1"/>
      <c r="U8" s="1"/>
      <c r="V8" s="1"/>
      <c r="W8" s="1"/>
      <c r="X8" s="1"/>
      <c r="Y8" s="1"/>
      <c r="Z8" s="1"/>
    </row>
    <row r="9" spans="1:26" ht="16.899999999999999" customHeight="1" x14ac:dyDescent="0.2">
      <c r="A9" s="135"/>
      <c r="B9" s="72"/>
      <c r="C9" s="72"/>
      <c r="D9" s="72"/>
      <c r="E9" s="555" t="s">
        <v>131</v>
      </c>
      <c r="F9" s="556"/>
      <c r="G9" s="447">
        <f>VLOOKUP($P$3,'[1]Mit-2'!$A$5:$AD$19,17,FALSE)</f>
        <v>100</v>
      </c>
      <c r="H9" s="90" t="s">
        <v>232</v>
      </c>
      <c r="I9" s="429"/>
      <c r="J9" s="478"/>
      <c r="K9" s="479"/>
      <c r="L9" s="479"/>
      <c r="M9" s="479"/>
      <c r="N9" s="479"/>
      <c r="O9" s="480"/>
      <c r="P9" s="1"/>
      <c r="Q9" s="198"/>
      <c r="R9" s="430"/>
      <c r="S9" s="2"/>
      <c r="T9" s="287">
        <f>[1]Firma!$B$10</f>
        <v>31</v>
      </c>
      <c r="U9" s="1"/>
      <c r="V9" s="1"/>
      <c r="W9" s="1"/>
      <c r="X9" s="1"/>
      <c r="Y9" s="1"/>
      <c r="Z9" s="1"/>
    </row>
    <row r="10" spans="1:26" ht="10.9" customHeight="1" x14ac:dyDescent="0.2">
      <c r="A10" s="189" t="s">
        <v>108</v>
      </c>
      <c r="B10" s="26"/>
      <c r="C10" s="26"/>
      <c r="D10" s="26"/>
      <c r="E10" s="26"/>
      <c r="F10" s="26"/>
      <c r="G10" s="26"/>
      <c r="H10" s="26"/>
      <c r="I10" s="190"/>
      <c r="J10" s="481" t="s">
        <v>227</v>
      </c>
      <c r="K10" s="484" t="s">
        <v>228</v>
      </c>
      <c r="L10" s="487" t="s">
        <v>229</v>
      </c>
      <c r="M10" s="487" t="s">
        <v>264</v>
      </c>
      <c r="N10" s="487" t="s">
        <v>265</v>
      </c>
      <c r="O10" s="557" t="s">
        <v>266</v>
      </c>
      <c r="P10" s="1"/>
      <c r="Q10" s="538" t="s">
        <v>207</v>
      </c>
      <c r="R10" s="539"/>
      <c r="S10" s="540"/>
      <c r="T10" s="1"/>
      <c r="U10" s="1"/>
      <c r="V10" s="1"/>
      <c r="W10" s="1"/>
      <c r="X10" s="1"/>
      <c r="Y10" s="1"/>
      <c r="Z10" s="1"/>
    </row>
    <row r="11" spans="1:26" s="94" customFormat="1" ht="13.9" customHeight="1" x14ac:dyDescent="0.15">
      <c r="A11" s="181" t="s">
        <v>16</v>
      </c>
      <c r="B11" s="182" t="s">
        <v>11</v>
      </c>
      <c r="C11" s="182" t="s">
        <v>12</v>
      </c>
      <c r="D11" s="182" t="s">
        <v>13</v>
      </c>
      <c r="E11" s="544" t="s">
        <v>14</v>
      </c>
      <c r="F11" s="545"/>
      <c r="G11" s="182" t="s">
        <v>15</v>
      </c>
      <c r="H11" s="183" t="s">
        <v>218</v>
      </c>
      <c r="I11" s="186"/>
      <c r="J11" s="482"/>
      <c r="K11" s="485"/>
      <c r="L11" s="488"/>
      <c r="M11" s="488"/>
      <c r="N11" s="488"/>
      <c r="O11" s="558"/>
      <c r="P11" s="93"/>
      <c r="Q11" s="541"/>
      <c r="R11" s="542"/>
      <c r="S11" s="543"/>
      <c r="T11" s="93"/>
      <c r="U11" s="93"/>
      <c r="V11" s="93"/>
      <c r="W11" s="93"/>
      <c r="X11" s="93"/>
      <c r="Y11" s="93"/>
      <c r="Z11" s="93"/>
    </row>
    <row r="12" spans="1:26" x14ac:dyDescent="0.2">
      <c r="A12" s="171">
        <f>VLOOKUP($G$8,'[1]Lohntab-Tab-retr.'!$A$7:$O$15,2,FALSE)</f>
        <v>1477.83</v>
      </c>
      <c r="B12" s="172">
        <f>VLOOKUP($G$8,'[1]Lohntab-Tab-retr.'!$A$21:$O$29,2,FALSE)</f>
        <v>532.54</v>
      </c>
      <c r="C12" s="172">
        <f>I8*VLOOKUP($G$8,'[1]Lohntab-Tab-retr.'!$A$63:$O$71,2,FALSE)</f>
        <v>0</v>
      </c>
      <c r="D12" s="172">
        <f>VLOOKUP($G$8,'[1]Lohntab-Tab-retr.'!$A$35:$O$43,2,FALSE)</f>
        <v>0</v>
      </c>
      <c r="E12" s="560">
        <f>VLOOKUP($G$8,'[1]Lohntab-Tab-retr.'!$A$49:$O$57,2,FALSE)</f>
        <v>8</v>
      </c>
      <c r="F12" s="560"/>
      <c r="G12" s="172">
        <f>VLOOKUP($P$3,'[1]Mit-2'!$A$24:$P$38,3,FALSE)</f>
        <v>0</v>
      </c>
      <c r="H12" s="172">
        <f>VLOOKUP($G$8,'[1]Lohntab-Tab-retr.'!$A$77:$O$85,2,FALSE)</f>
        <v>0</v>
      </c>
      <c r="I12" s="300"/>
      <c r="J12" s="482"/>
      <c r="K12" s="485"/>
      <c r="L12" s="488"/>
      <c r="M12" s="488"/>
      <c r="N12" s="488"/>
      <c r="O12" s="558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s="94" customFormat="1" ht="13.9" customHeight="1" x14ac:dyDescent="0.15">
      <c r="A13" s="168" t="s">
        <v>17</v>
      </c>
      <c r="B13" s="169" t="s">
        <v>18</v>
      </c>
      <c r="C13" s="169" t="s">
        <v>19</v>
      </c>
      <c r="D13" s="169" t="s">
        <v>20</v>
      </c>
      <c r="E13" s="561" t="s">
        <v>24</v>
      </c>
      <c r="F13" s="562"/>
      <c r="G13" s="169" t="s">
        <v>23</v>
      </c>
      <c r="H13" s="170" t="s">
        <v>21</v>
      </c>
      <c r="I13" s="177" t="s">
        <v>209</v>
      </c>
      <c r="J13" s="482"/>
      <c r="K13" s="485"/>
      <c r="L13" s="488"/>
      <c r="M13" s="488"/>
      <c r="N13" s="488"/>
      <c r="O13" s="558"/>
      <c r="P13" s="93"/>
      <c r="Q13" s="93"/>
      <c r="R13" s="93"/>
      <c r="S13" s="93"/>
      <c r="T13" s="93"/>
      <c r="U13" s="93"/>
      <c r="V13" s="93"/>
      <c r="W13" s="93"/>
      <c r="X13" s="93"/>
      <c r="Y13" s="93"/>
      <c r="Z13" s="93"/>
    </row>
    <row r="14" spans="1:26" x14ac:dyDescent="0.2">
      <c r="A14" s="178">
        <f>[1]Tab!G140</f>
        <v>168</v>
      </c>
      <c r="B14" s="240">
        <f>[1]Tab!G141</f>
        <v>26</v>
      </c>
      <c r="C14" s="179">
        <f>ROUND(I14/A14,5)</f>
        <v>12.014110000000001</v>
      </c>
      <c r="D14" s="179">
        <f>ROUND(I14/B14,5)</f>
        <v>77.629620000000003</v>
      </c>
      <c r="E14" s="563">
        <f>COUNT(K19:K49)</f>
        <v>0</v>
      </c>
      <c r="F14" s="563"/>
      <c r="G14" s="240">
        <f>K50</f>
        <v>0</v>
      </c>
      <c r="H14" s="240">
        <v>26</v>
      </c>
      <c r="I14" s="180">
        <f>SUM(A12:I12)</f>
        <v>2018.37</v>
      </c>
      <c r="J14" s="482"/>
      <c r="K14" s="485"/>
      <c r="L14" s="488"/>
      <c r="M14" s="488"/>
      <c r="N14" s="488"/>
      <c r="O14" s="558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</row>
    <row r="15" spans="1:26" s="94" customFormat="1" ht="13.9" customHeight="1" x14ac:dyDescent="0.15">
      <c r="A15" s="174" t="s">
        <v>26</v>
      </c>
      <c r="B15" s="175" t="s">
        <v>27</v>
      </c>
      <c r="C15" s="175" t="s">
        <v>25</v>
      </c>
      <c r="D15" s="175" t="s">
        <v>259</v>
      </c>
      <c r="E15" s="564" t="s">
        <v>260</v>
      </c>
      <c r="F15" s="565"/>
      <c r="G15" s="175" t="s">
        <v>261</v>
      </c>
      <c r="H15" s="146"/>
      <c r="I15" s="176"/>
      <c r="J15" s="482"/>
      <c r="K15" s="485"/>
      <c r="L15" s="488"/>
      <c r="M15" s="488"/>
      <c r="N15" s="488"/>
      <c r="O15" s="558"/>
      <c r="P15" s="93"/>
      <c r="Q15" s="93"/>
      <c r="R15" s="93"/>
      <c r="S15" s="93"/>
      <c r="T15" s="93"/>
      <c r="U15" s="93"/>
      <c r="V15" s="93"/>
      <c r="W15" s="93"/>
      <c r="X15" s="93"/>
      <c r="Y15" s="93"/>
      <c r="Z15" s="93"/>
    </row>
    <row r="16" spans="1:26" x14ac:dyDescent="0.2">
      <c r="A16" s="440">
        <f>VLOOKUP($P$3,'[1]Mit-2'!$A$90:$P$104,3,FALSE)*G9%</f>
        <v>0</v>
      </c>
      <c r="B16" s="438">
        <f>M50</f>
        <v>0</v>
      </c>
      <c r="C16" s="438">
        <f>A16-B16</f>
        <v>0</v>
      </c>
      <c r="D16" s="438">
        <f>VLOOKUP($P$3,'[1]Mit-2'!$A$90:$AD$104,17,FALSE)*G9%</f>
        <v>0</v>
      </c>
      <c r="E16" s="537">
        <f>N50</f>
        <v>0</v>
      </c>
      <c r="F16" s="537"/>
      <c r="G16" s="438">
        <f>D16-E16</f>
        <v>0</v>
      </c>
      <c r="H16" s="147"/>
      <c r="I16" s="185"/>
      <c r="J16" s="482"/>
      <c r="K16" s="485"/>
      <c r="L16" s="488"/>
      <c r="M16" s="488"/>
      <c r="N16" s="488"/>
      <c r="O16" s="558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</row>
    <row r="17" spans="1:26" ht="3.75" customHeight="1" x14ac:dyDescent="0.2">
      <c r="A17" s="167"/>
      <c r="B17" s="29"/>
      <c r="C17" s="29"/>
      <c r="D17" s="29"/>
      <c r="E17" s="29"/>
      <c r="F17" s="29"/>
      <c r="G17" s="29"/>
      <c r="H17" s="29"/>
      <c r="I17" s="35"/>
      <c r="J17" s="482"/>
      <c r="K17" s="485"/>
      <c r="L17" s="488"/>
      <c r="M17" s="488"/>
      <c r="N17" s="488"/>
      <c r="O17" s="558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s="92" customFormat="1" ht="16.899999999999999" customHeight="1" x14ac:dyDescent="0.15">
      <c r="A18" s="162" t="s">
        <v>28</v>
      </c>
      <c r="B18" s="163"/>
      <c r="C18" s="163"/>
      <c r="D18" s="96"/>
      <c r="E18" s="535" t="s">
        <v>29</v>
      </c>
      <c r="F18" s="536"/>
      <c r="G18" s="99" t="s">
        <v>31</v>
      </c>
      <c r="H18" s="86" t="s">
        <v>30</v>
      </c>
      <c r="I18" s="100" t="s">
        <v>233</v>
      </c>
      <c r="J18" s="483"/>
      <c r="K18" s="486"/>
      <c r="L18" s="489"/>
      <c r="M18" s="489"/>
      <c r="N18" s="489"/>
      <c r="O18" s="559"/>
      <c r="P18" s="97"/>
      <c r="S18" s="301"/>
      <c r="V18" s="98"/>
      <c r="W18" s="98"/>
      <c r="X18" s="98"/>
      <c r="Y18" s="97"/>
      <c r="Z18" s="97"/>
    </row>
    <row r="19" spans="1:26" ht="12" customHeight="1" x14ac:dyDescent="0.2">
      <c r="A19" s="533">
        <v>0</v>
      </c>
      <c r="B19" s="534"/>
      <c r="C19" s="534"/>
      <c r="D19" s="417"/>
      <c r="E19" s="418"/>
      <c r="F19" s="419"/>
      <c r="G19" s="206">
        <f>VLOOKUP(A19,A66:F121,5,FALSE)</f>
        <v>0</v>
      </c>
      <c r="H19" s="308">
        <f>IF(E19="",0,IF(A19="",0,IF(E19="Std-ore",ROUND(C$14+C$14*G19,5),IF(E19="Tage-gg.",ROUND(D$14+D$14*G19,5),IF(E19="Monat-mese",ROUND($I$14+$I$14*G19,2))))))</f>
        <v>0</v>
      </c>
      <c r="I19" s="151">
        <f>ROUND(H19*F19,2)</f>
        <v>0</v>
      </c>
      <c r="J19" s="305">
        <v>1</v>
      </c>
      <c r="K19" s="409"/>
      <c r="L19" s="410"/>
      <c r="M19" s="410"/>
      <c r="N19" s="410"/>
      <c r="O19" s="411"/>
      <c r="P19" s="6"/>
      <c r="V19" s="1"/>
      <c r="W19" s="1"/>
      <c r="X19" s="1"/>
      <c r="Y19" s="7"/>
      <c r="Z19" s="6"/>
    </row>
    <row r="20" spans="1:26" ht="12" customHeight="1" x14ac:dyDescent="0.2">
      <c r="A20" s="526"/>
      <c r="B20" s="527"/>
      <c r="C20" s="527"/>
      <c r="D20" s="420"/>
      <c r="E20" s="421"/>
      <c r="F20" s="422"/>
      <c r="G20" s="206">
        <f>VLOOKUP(A20,A67:F122,5,FALSE)</f>
        <v>0</v>
      </c>
      <c r="H20" s="308">
        <f t="shared" ref="H20:H28" si="0">IF(E20="",0,IF(A20="",0,IF(E20="Std-ore",ROUND(C$14+C$14*G20,5),IF(E20="Tage-gg.",ROUND(D$14+D$14*G20,5),IF(E20="Monat-mese",ROUND($I$14+$I$14*G20,2))))))</f>
        <v>0</v>
      </c>
      <c r="I20" s="152">
        <f t="shared" ref="I20:I28" si="1">IF(A20="Abzug Bruttoberechnung Krankengeld INPS",ROUND(I19*G20,2),ROUND(H20*F20,2))</f>
        <v>0</v>
      </c>
      <c r="J20" s="306">
        <v>2</v>
      </c>
      <c r="K20" s="412"/>
      <c r="L20" s="413"/>
      <c r="M20" s="413"/>
      <c r="N20" s="413"/>
      <c r="O20" s="414"/>
      <c r="P20" s="6"/>
      <c r="V20" s="28"/>
      <c r="W20" s="6"/>
    </row>
    <row r="21" spans="1:26" ht="12" customHeight="1" x14ac:dyDescent="0.2">
      <c r="A21" s="526"/>
      <c r="B21" s="527"/>
      <c r="C21" s="527"/>
      <c r="D21" s="420"/>
      <c r="E21" s="421"/>
      <c r="F21" s="422"/>
      <c r="G21" s="206">
        <f>VLOOKUP(A21,A66:F121,5,FALSE)</f>
        <v>0</v>
      </c>
      <c r="H21" s="308">
        <f t="shared" si="0"/>
        <v>0</v>
      </c>
      <c r="I21" s="152">
        <f t="shared" si="1"/>
        <v>0</v>
      </c>
      <c r="J21" s="306">
        <v>3</v>
      </c>
      <c r="K21" s="412"/>
      <c r="L21" s="413"/>
      <c r="M21" s="413"/>
      <c r="N21" s="413"/>
      <c r="O21" s="414"/>
      <c r="P21" s="6"/>
      <c r="V21" s="28"/>
      <c r="W21" s="6"/>
    </row>
    <row r="22" spans="1:26" ht="12" customHeight="1" x14ac:dyDescent="0.2">
      <c r="A22" s="526"/>
      <c r="B22" s="527"/>
      <c r="C22" s="527"/>
      <c r="D22" s="420"/>
      <c r="E22" s="421"/>
      <c r="F22" s="422"/>
      <c r="G22" s="206">
        <f>VLOOKUP(A22,A67:F122,5,FALSE)</f>
        <v>0</v>
      </c>
      <c r="H22" s="308">
        <f>IF(E22="",0,IF(A22="",0,IF(E22="Std-ore",ROUND(C$14+C$14*G22,5),IF(E22="Tage-gg.",ROUND(D$14+D$14*G22,5),IF(E22="Monat-mese",ROUND($I$14+$I$14*G22,2))))))</f>
        <v>0</v>
      </c>
      <c r="I22" s="152">
        <f t="shared" si="1"/>
        <v>0</v>
      </c>
      <c r="J22" s="306">
        <v>4</v>
      </c>
      <c r="K22" s="412"/>
      <c r="L22" s="413"/>
      <c r="M22" s="413"/>
      <c r="N22" s="413"/>
      <c r="O22" s="414"/>
      <c r="P22" s="6"/>
      <c r="V22" s="28"/>
      <c r="W22" s="6"/>
    </row>
    <row r="23" spans="1:26" ht="12" customHeight="1" x14ac:dyDescent="0.2">
      <c r="A23" s="526"/>
      <c r="B23" s="527"/>
      <c r="C23" s="527"/>
      <c r="D23" s="420"/>
      <c r="E23" s="421"/>
      <c r="F23" s="422"/>
      <c r="G23" s="206">
        <f t="shared" ref="G23:G28" si="2">VLOOKUP(A23,A67:F122,5,FALSE)</f>
        <v>0</v>
      </c>
      <c r="H23" s="308">
        <f>IF(E23="",0,IF(A23="",0,IF(E23="Std-ore",ROUND(C$14+C$14*G23,5),IF(E23="Tage-gg.",ROUND(D$14+D$14*G23,5),IF(E23="Monat-mese",ROUND($I$14+$I$14*G23,2))))))</f>
        <v>0</v>
      </c>
      <c r="I23" s="152">
        <f t="shared" si="1"/>
        <v>0</v>
      </c>
      <c r="J23" s="306">
        <v>5</v>
      </c>
      <c r="K23" s="412"/>
      <c r="L23" s="413"/>
      <c r="M23" s="413"/>
      <c r="N23" s="413"/>
      <c r="O23" s="414"/>
      <c r="P23" s="6"/>
      <c r="V23" s="28"/>
      <c r="W23" s="6"/>
    </row>
    <row r="24" spans="1:26" ht="12" customHeight="1" x14ac:dyDescent="0.2">
      <c r="A24" s="526"/>
      <c r="B24" s="527"/>
      <c r="C24" s="527"/>
      <c r="D24" s="420"/>
      <c r="E24" s="421"/>
      <c r="F24" s="422"/>
      <c r="G24" s="206">
        <f t="shared" si="2"/>
        <v>0</v>
      </c>
      <c r="H24" s="308">
        <f t="shared" si="0"/>
        <v>0</v>
      </c>
      <c r="I24" s="152">
        <f t="shared" si="1"/>
        <v>0</v>
      </c>
      <c r="J24" s="306">
        <v>6</v>
      </c>
      <c r="K24" s="412"/>
      <c r="L24" s="413"/>
      <c r="M24" s="413"/>
      <c r="N24" s="413"/>
      <c r="O24" s="414"/>
      <c r="P24" s="6"/>
      <c r="V24" s="28"/>
      <c r="W24" s="6"/>
    </row>
    <row r="25" spans="1:26" ht="12" customHeight="1" x14ac:dyDescent="0.2">
      <c r="A25" s="526"/>
      <c r="B25" s="527"/>
      <c r="C25" s="527"/>
      <c r="D25" s="420"/>
      <c r="E25" s="421"/>
      <c r="F25" s="422"/>
      <c r="G25" s="206">
        <f t="shared" si="2"/>
        <v>0</v>
      </c>
      <c r="H25" s="308">
        <f t="shared" si="0"/>
        <v>0</v>
      </c>
      <c r="I25" s="152">
        <f t="shared" si="1"/>
        <v>0</v>
      </c>
      <c r="J25" s="306">
        <v>7</v>
      </c>
      <c r="K25" s="412"/>
      <c r="L25" s="413"/>
      <c r="M25" s="413"/>
      <c r="N25" s="413"/>
      <c r="O25" s="414"/>
      <c r="P25" s="6"/>
      <c r="W25" s="6"/>
    </row>
    <row r="26" spans="1:26" ht="12" customHeight="1" x14ac:dyDescent="0.2">
      <c r="A26" s="526"/>
      <c r="B26" s="527"/>
      <c r="C26" s="527"/>
      <c r="D26" s="420"/>
      <c r="E26" s="421"/>
      <c r="F26" s="422"/>
      <c r="G26" s="206">
        <f t="shared" si="2"/>
        <v>0</v>
      </c>
      <c r="H26" s="308">
        <f t="shared" si="0"/>
        <v>0</v>
      </c>
      <c r="I26" s="152">
        <f t="shared" si="1"/>
        <v>0</v>
      </c>
      <c r="J26" s="306">
        <v>8</v>
      </c>
      <c r="K26" s="412"/>
      <c r="L26" s="413"/>
      <c r="M26" s="413"/>
      <c r="N26" s="413"/>
      <c r="O26" s="414"/>
      <c r="P26" s="6"/>
      <c r="W26" s="6"/>
    </row>
    <row r="27" spans="1:26" ht="12" customHeight="1" x14ac:dyDescent="0.2">
      <c r="A27" s="526"/>
      <c r="B27" s="527"/>
      <c r="C27" s="527"/>
      <c r="D27" s="420"/>
      <c r="E27" s="421"/>
      <c r="F27" s="422"/>
      <c r="G27" s="206">
        <f t="shared" si="2"/>
        <v>0</v>
      </c>
      <c r="H27" s="308">
        <f t="shared" si="0"/>
        <v>0</v>
      </c>
      <c r="I27" s="152">
        <f t="shared" si="1"/>
        <v>0</v>
      </c>
      <c r="J27" s="306">
        <v>9</v>
      </c>
      <c r="K27" s="412"/>
      <c r="L27" s="413"/>
      <c r="M27" s="413"/>
      <c r="N27" s="413"/>
      <c r="O27" s="414"/>
      <c r="P27" s="6"/>
    </row>
    <row r="28" spans="1:26" ht="12" customHeight="1" x14ac:dyDescent="0.2">
      <c r="A28" s="526"/>
      <c r="B28" s="527"/>
      <c r="C28" s="527"/>
      <c r="D28" s="420"/>
      <c r="E28" s="421"/>
      <c r="F28" s="422"/>
      <c r="G28" s="206">
        <f t="shared" si="2"/>
        <v>0</v>
      </c>
      <c r="H28" s="308">
        <f t="shared" si="0"/>
        <v>0</v>
      </c>
      <c r="I28" s="152">
        <f t="shared" si="1"/>
        <v>0</v>
      </c>
      <c r="J28" s="306">
        <v>10</v>
      </c>
      <c r="K28" s="412"/>
      <c r="L28" s="413"/>
      <c r="M28" s="413"/>
      <c r="N28" s="413"/>
      <c r="O28" s="414"/>
      <c r="P28" s="6"/>
    </row>
    <row r="29" spans="1:26" ht="12" customHeight="1" x14ac:dyDescent="0.2">
      <c r="A29" s="119" t="s">
        <v>109</v>
      </c>
      <c r="B29" s="57"/>
      <c r="C29" s="57"/>
      <c r="D29" s="57"/>
      <c r="E29" s="57"/>
      <c r="F29" s="58"/>
      <c r="G29" s="57"/>
      <c r="H29" s="57"/>
      <c r="I29" s="154">
        <f>SUM(I19:I28)</f>
        <v>0</v>
      </c>
      <c r="J29" s="306">
        <v>11</v>
      </c>
      <c r="K29" s="412"/>
      <c r="L29" s="413"/>
      <c r="M29" s="413"/>
      <c r="N29" s="415"/>
      <c r="O29" s="416"/>
      <c r="P29" s="9"/>
    </row>
    <row r="30" spans="1:26" ht="12" customHeight="1" x14ac:dyDescent="0.2">
      <c r="A30" s="211" t="s">
        <v>236</v>
      </c>
      <c r="B30" s="55"/>
      <c r="C30" s="59"/>
      <c r="D30" s="59"/>
      <c r="E30" s="59"/>
      <c r="F30" s="102" t="s">
        <v>55</v>
      </c>
      <c r="G30" s="73">
        <f>ROUND(I29,0)</f>
        <v>0</v>
      </c>
      <c r="H30" s="164">
        <f>'[1]Mit-1'!$C$21</f>
        <v>9.1899999999999996E-2</v>
      </c>
      <c r="I30" s="151">
        <f>-ROUND(G30*H30,2)</f>
        <v>0</v>
      </c>
      <c r="J30" s="306">
        <v>12</v>
      </c>
      <c r="K30" s="412"/>
      <c r="L30" s="413"/>
      <c r="M30" s="413"/>
      <c r="N30" s="413"/>
      <c r="O30" s="414"/>
      <c r="P30" s="1"/>
      <c r="Z30" s="1"/>
    </row>
    <row r="31" spans="1:26" ht="12" customHeight="1" x14ac:dyDescent="0.2">
      <c r="A31" s="104" t="s">
        <v>237</v>
      </c>
      <c r="B31" s="61"/>
      <c r="C31" s="62"/>
      <c r="D31" s="62"/>
      <c r="E31" s="62"/>
      <c r="F31" s="103" t="s">
        <v>55</v>
      </c>
      <c r="G31" s="60">
        <f>ROUND(I29,2)</f>
        <v>0</v>
      </c>
      <c r="H31" s="165">
        <f>VLOOKUP($P$3,'[1]Mit-1'!$A$5:$U$19,19,FALSE)</f>
        <v>1.23E-2</v>
      </c>
      <c r="I31" s="152">
        <f>-ROUND(G31*H31,2)</f>
        <v>0</v>
      </c>
      <c r="J31" s="306">
        <v>13</v>
      </c>
      <c r="K31" s="412"/>
      <c r="L31" s="413"/>
      <c r="M31" s="413"/>
      <c r="N31" s="413"/>
      <c r="O31" s="414"/>
      <c r="P31" s="1"/>
      <c r="Z31" s="1"/>
    </row>
    <row r="32" spans="1:26" ht="12" customHeight="1" x14ac:dyDescent="0.2">
      <c r="A32" s="104" t="s">
        <v>234</v>
      </c>
      <c r="B32" s="61"/>
      <c r="C32" s="62"/>
      <c r="D32" s="62"/>
      <c r="E32" s="62"/>
      <c r="F32" s="103" t="s">
        <v>55</v>
      </c>
      <c r="G32" s="327">
        <f>IF(I29=0,0,IF(R9&gt;0,SUM(A12:B12)/T9*R9,SUM(A12:B12)))</f>
        <v>0</v>
      </c>
      <c r="H32" s="165">
        <f>'[1]Mit-1'!$I$21</f>
        <v>1E-3</v>
      </c>
      <c r="I32" s="152">
        <f>-ROUND(G32*H32,2)</f>
        <v>0</v>
      </c>
      <c r="J32" s="306">
        <v>14</v>
      </c>
      <c r="K32" s="412"/>
      <c r="L32" s="413"/>
      <c r="M32" s="413"/>
      <c r="N32" s="413"/>
      <c r="O32" s="414"/>
      <c r="P32" s="1"/>
      <c r="Z32" s="1"/>
    </row>
    <row r="33" spans="1:26" ht="12" customHeight="1" x14ac:dyDescent="0.2">
      <c r="A33" s="104" t="s">
        <v>235</v>
      </c>
      <c r="B33" s="61"/>
      <c r="C33" s="62"/>
      <c r="D33" s="62"/>
      <c r="E33" s="62"/>
      <c r="F33" s="103" t="s">
        <v>55</v>
      </c>
      <c r="G33" s="60">
        <f>G30</f>
        <v>0</v>
      </c>
      <c r="H33" s="165">
        <f>'[1]Mit-1'!$I$23</f>
        <v>4.0000000000000001E-3</v>
      </c>
      <c r="I33" s="152">
        <f>-ROUND(G33*H33,2)</f>
        <v>0</v>
      </c>
      <c r="J33" s="306">
        <v>15</v>
      </c>
      <c r="K33" s="412"/>
      <c r="L33" s="413"/>
      <c r="M33" s="413"/>
      <c r="N33" s="413"/>
      <c r="O33" s="414"/>
      <c r="P33" s="1"/>
      <c r="Z33" s="1"/>
    </row>
    <row r="34" spans="1:26" ht="12" customHeight="1" x14ac:dyDescent="0.2">
      <c r="A34" s="104" t="s">
        <v>258</v>
      </c>
      <c r="B34" s="61"/>
      <c r="C34" s="62"/>
      <c r="D34" s="62"/>
      <c r="E34" s="62"/>
      <c r="F34" s="394"/>
      <c r="G34" s="52"/>
      <c r="H34" s="395"/>
      <c r="I34" s="152">
        <f>-IF(I29=0,0,'[1]Mit-1'!$I$25)</f>
        <v>0</v>
      </c>
      <c r="J34" s="306">
        <v>16</v>
      </c>
      <c r="K34" s="412"/>
      <c r="L34" s="413"/>
      <c r="M34" s="413"/>
      <c r="N34" s="413"/>
      <c r="O34" s="414"/>
      <c r="P34" s="1"/>
      <c r="Z34" s="1"/>
    </row>
    <row r="35" spans="1:26" ht="12" customHeight="1" x14ac:dyDescent="0.2">
      <c r="A35" s="104" t="s">
        <v>110</v>
      </c>
      <c r="B35" s="10"/>
      <c r="C35" s="10"/>
      <c r="D35" s="10"/>
      <c r="E35" s="10"/>
      <c r="F35" s="10"/>
      <c r="G35" s="11"/>
      <c r="H35" s="63"/>
      <c r="I35" s="152">
        <f ca="1">-SUMIF($A$19:$C$28,"Krankheit INPS-Anteil*",$I$19:$I$28)</f>
        <v>0</v>
      </c>
      <c r="J35" s="306">
        <v>17</v>
      </c>
      <c r="K35" s="412"/>
      <c r="L35" s="413"/>
      <c r="M35" s="413"/>
      <c r="N35" s="413"/>
      <c r="O35" s="414"/>
      <c r="P35" s="6"/>
      <c r="Y35" s="6"/>
      <c r="Z35" s="6"/>
    </row>
    <row r="36" spans="1:26" ht="12" customHeight="1" x14ac:dyDescent="0.2">
      <c r="A36" s="104" t="s">
        <v>111</v>
      </c>
      <c r="B36" s="10"/>
      <c r="C36" s="10"/>
      <c r="D36" s="10"/>
      <c r="E36" s="10"/>
      <c r="F36" s="10"/>
      <c r="G36" s="11"/>
      <c r="H36" s="63"/>
      <c r="I36" s="152">
        <f ca="1">-SUMIF($A$19:$C$28,"Mutterschaft INPS-Anteil*",$I$19:$I$28)</f>
        <v>0</v>
      </c>
      <c r="J36" s="306">
        <v>18</v>
      </c>
      <c r="K36" s="412"/>
      <c r="L36" s="413"/>
      <c r="M36" s="413"/>
      <c r="N36" s="413"/>
      <c r="O36" s="414"/>
      <c r="P36" s="6"/>
      <c r="Y36" s="6"/>
      <c r="Z36" s="6"/>
    </row>
    <row r="37" spans="1:26" ht="12" customHeight="1" x14ac:dyDescent="0.2">
      <c r="A37" s="105" t="s">
        <v>112</v>
      </c>
      <c r="B37" s="10"/>
      <c r="C37" s="10"/>
      <c r="D37" s="10"/>
      <c r="E37" s="10"/>
      <c r="F37" s="10"/>
      <c r="G37" s="11"/>
      <c r="H37" s="52">
        <f>ROUND(IF(I29=0,0,VLOOKUP($P$3,'[1]Mit-1'!$A$5:$AD$19,12,FALSE)),2)</f>
        <v>0</v>
      </c>
      <c r="I37" s="155"/>
      <c r="J37" s="306">
        <v>19</v>
      </c>
      <c r="K37" s="412"/>
      <c r="L37" s="413"/>
      <c r="M37" s="413"/>
      <c r="N37" s="413"/>
      <c r="O37" s="414"/>
      <c r="P37" s="6"/>
      <c r="Y37" s="6"/>
      <c r="Z37" s="6"/>
    </row>
    <row r="38" spans="1:26" ht="12" customHeight="1" x14ac:dyDescent="0.2">
      <c r="A38" s="107" t="s">
        <v>113</v>
      </c>
      <c r="B38" s="10"/>
      <c r="C38" s="10"/>
      <c r="D38" s="10"/>
      <c r="E38" s="10"/>
      <c r="F38" s="10"/>
      <c r="G38" s="11"/>
      <c r="H38" s="236">
        <f ca="1">IF(SUM(I29:I37)-H37&lt;0,0,SUM(I29:I36)-H37)</f>
        <v>0</v>
      </c>
      <c r="I38" s="153"/>
      <c r="J38" s="306">
        <v>20</v>
      </c>
      <c r="K38" s="412"/>
      <c r="L38" s="413"/>
      <c r="M38" s="413"/>
      <c r="N38" s="413"/>
      <c r="O38" s="414"/>
      <c r="P38" s="6"/>
      <c r="Y38" s="6"/>
      <c r="Z38" s="6"/>
    </row>
    <row r="39" spans="1:26" ht="12" customHeight="1" x14ac:dyDescent="0.2">
      <c r="A39" s="211" t="s">
        <v>143</v>
      </c>
      <c r="B39" s="14"/>
      <c r="C39" s="14"/>
      <c r="D39" s="14"/>
      <c r="E39" s="14"/>
      <c r="F39" s="14"/>
      <c r="G39" s="14"/>
      <c r="H39" s="241">
        <f ca="1">-U50</f>
        <v>0</v>
      </c>
      <c r="I39" s="159"/>
      <c r="J39" s="306">
        <v>21</v>
      </c>
      <c r="K39" s="412"/>
      <c r="L39" s="413"/>
      <c r="M39" s="413"/>
      <c r="N39" s="413"/>
      <c r="O39" s="414"/>
      <c r="P39" s="6"/>
      <c r="R39" s="216"/>
      <c r="V39" s="6"/>
      <c r="W39" s="6"/>
      <c r="X39" s="6"/>
      <c r="Y39" s="6"/>
      <c r="Z39" s="6"/>
    </row>
    <row r="40" spans="1:26" ht="12" customHeight="1" x14ac:dyDescent="0.2">
      <c r="A40" s="104" t="s">
        <v>144</v>
      </c>
      <c r="B40" s="10"/>
      <c r="C40" s="10"/>
      <c r="D40" s="10"/>
      <c r="E40" s="10"/>
      <c r="F40" s="10"/>
      <c r="G40" s="10"/>
      <c r="H40" s="242">
        <f>ROUND(IF(I29=0,0,VLOOKUP($P$3,'[1]Mit-1'!$A$5:$AB$19,13,FALSE)/[1]Firma!$B$24*IF(R9=0,T9,R9)),2)</f>
        <v>0</v>
      </c>
      <c r="I40" s="156"/>
      <c r="J40" s="306">
        <v>22</v>
      </c>
      <c r="K40" s="412"/>
      <c r="L40" s="413"/>
      <c r="M40" s="413"/>
      <c r="N40" s="413"/>
      <c r="O40" s="414"/>
      <c r="P40" s="6"/>
      <c r="Q40" s="220"/>
      <c r="R40" s="216"/>
      <c r="S40" s="217"/>
      <c r="T40" s="218"/>
      <c r="U40" s="219"/>
      <c r="V40" s="6"/>
      <c r="W40" s="6"/>
      <c r="X40" s="6"/>
      <c r="Y40" s="6"/>
      <c r="Z40" s="6"/>
    </row>
    <row r="41" spans="1:26" ht="12" customHeight="1" x14ac:dyDescent="0.2">
      <c r="A41" s="110" t="s">
        <v>145</v>
      </c>
      <c r="B41" s="221"/>
      <c r="C41" s="221"/>
      <c r="D41" s="221"/>
      <c r="E41" s="221"/>
      <c r="F41" s="221"/>
      <c r="G41" s="221"/>
      <c r="H41" s="242">
        <f>ROUND(IF(I29=0,0,VLOOKUP($P$3,'[1]Mit-2'!$A$46:$P$60,3,FALSE)/12),2)</f>
        <v>0</v>
      </c>
      <c r="I41" s="156"/>
      <c r="J41" s="306">
        <v>23</v>
      </c>
      <c r="K41" s="412"/>
      <c r="L41" s="413"/>
      <c r="M41" s="413"/>
      <c r="N41" s="413"/>
      <c r="O41" s="414"/>
      <c r="P41" s="6"/>
      <c r="Q41" s="492" t="s">
        <v>4</v>
      </c>
      <c r="R41" s="493"/>
      <c r="S41" s="494" t="s">
        <v>7</v>
      </c>
      <c r="T41" s="498" t="s">
        <v>5</v>
      </c>
      <c r="U41" s="490" t="s">
        <v>2</v>
      </c>
      <c r="V41" s="6"/>
      <c r="W41" s="6"/>
      <c r="X41" s="6"/>
      <c r="Y41" s="6"/>
      <c r="Z41" s="6"/>
    </row>
    <row r="42" spans="1:26" ht="12" customHeight="1" x14ac:dyDescent="0.2">
      <c r="A42" s="108" t="s">
        <v>146</v>
      </c>
      <c r="B42" s="64"/>
      <c r="C42" s="64"/>
      <c r="D42" s="64"/>
      <c r="E42" s="64"/>
      <c r="F42" s="64"/>
      <c r="G42" s="64"/>
      <c r="H42" s="65"/>
      <c r="I42" s="157">
        <f ca="1">IF(SUM(H39:H41)&gt;=0,0,SUM(H39:H41))</f>
        <v>0</v>
      </c>
      <c r="J42" s="306">
        <v>24</v>
      </c>
      <c r="K42" s="412"/>
      <c r="L42" s="413"/>
      <c r="M42" s="413"/>
      <c r="N42" s="413"/>
      <c r="O42" s="414"/>
      <c r="P42" s="6"/>
      <c r="Q42" s="529"/>
      <c r="R42" s="530"/>
      <c r="S42" s="532"/>
      <c r="T42" s="531"/>
      <c r="U42" s="528"/>
      <c r="V42" s="6"/>
      <c r="W42" s="6"/>
      <c r="X42" s="6"/>
      <c r="Y42" s="6"/>
      <c r="Z42" s="6"/>
    </row>
    <row r="43" spans="1:26" ht="12" customHeight="1" x14ac:dyDescent="0.2">
      <c r="A43" s="106" t="s">
        <v>141</v>
      </c>
      <c r="B43" s="212"/>
      <c r="C43" s="10"/>
      <c r="D43" s="331"/>
      <c r="E43" s="508"/>
      <c r="F43" s="508"/>
      <c r="G43" s="330"/>
      <c r="H43" s="215" t="s">
        <v>33</v>
      </c>
      <c r="I43" s="158"/>
      <c r="J43" s="306">
        <v>25</v>
      </c>
      <c r="K43" s="412"/>
      <c r="L43" s="413"/>
      <c r="M43" s="413"/>
      <c r="N43" s="413"/>
      <c r="O43" s="414"/>
      <c r="P43" s="6"/>
      <c r="Q43" s="81" t="s">
        <v>0</v>
      </c>
      <c r="R43" s="82" t="s">
        <v>1</v>
      </c>
      <c r="S43" s="495"/>
      <c r="T43" s="499"/>
      <c r="U43" s="491"/>
      <c r="V43" s="6"/>
      <c r="W43" s="6"/>
      <c r="X43" s="6"/>
      <c r="Y43" s="6"/>
      <c r="Z43" s="6"/>
    </row>
    <row r="44" spans="1:26" ht="12" customHeight="1" x14ac:dyDescent="0.2">
      <c r="A44" s="104" t="s">
        <v>114</v>
      </c>
      <c r="B44" s="15"/>
      <c r="C44" s="8"/>
      <c r="D44" s="332"/>
      <c r="E44" s="507"/>
      <c r="F44" s="507"/>
      <c r="G44" s="333"/>
      <c r="H44" s="407"/>
      <c r="I44" s="152">
        <f>-H44</f>
        <v>0</v>
      </c>
      <c r="J44" s="306">
        <v>26</v>
      </c>
      <c r="K44" s="412"/>
      <c r="L44" s="413"/>
      <c r="M44" s="413"/>
      <c r="N44" s="413"/>
      <c r="O44" s="414"/>
      <c r="P44" s="6"/>
      <c r="Q44" s="78">
        <f>[1]Tab!E8</f>
        <v>0</v>
      </c>
      <c r="R44" s="74">
        <f>[1]Tab!F8</f>
        <v>1250</v>
      </c>
      <c r="S44" s="75">
        <f>[1]Tab!G8</f>
        <v>0.23</v>
      </c>
      <c r="T44" s="76">
        <f>ROUND(R44*S44,2)</f>
        <v>287.5</v>
      </c>
      <c r="U44" s="76">
        <f ca="1">ROUND(IF(AND($H$38&lt;=R44,$H$38&gt;0),$H$38*S44,0),2)</f>
        <v>0</v>
      </c>
      <c r="V44" s="6"/>
      <c r="W44" s="6"/>
      <c r="X44" s="6"/>
      <c r="Y44" s="6"/>
      <c r="Z44" s="6"/>
    </row>
    <row r="45" spans="1:26" s="1" customFormat="1" ht="12" customHeight="1" x14ac:dyDescent="0.2">
      <c r="A45" s="110" t="s">
        <v>115</v>
      </c>
      <c r="B45" s="18"/>
      <c r="C45" s="111" t="s">
        <v>148</v>
      </c>
      <c r="D45" s="334">
        <v>11</v>
      </c>
      <c r="E45" s="507"/>
      <c r="F45" s="507"/>
      <c r="G45" s="335"/>
      <c r="H45" s="24">
        <f>IF(I29=0,0,VLOOKUP($P$3,'[1]Mit-2'!$A$65:$P$79,3,FALSE))</f>
        <v>0</v>
      </c>
      <c r="I45" s="155">
        <f>IF($I$9="",ROUND(IF($I$29=0,0,-H45/D45),2),-Steuern!J40)</f>
        <v>0</v>
      </c>
      <c r="J45" s="306">
        <v>27</v>
      </c>
      <c r="K45" s="412"/>
      <c r="L45" s="413"/>
      <c r="M45" s="413"/>
      <c r="N45" s="413"/>
      <c r="O45" s="414"/>
      <c r="P45" s="6"/>
      <c r="Q45" s="78">
        <f>[1]Tab!E9</f>
        <v>1250.01</v>
      </c>
      <c r="R45" s="74">
        <f>[1]Tab!F9</f>
        <v>2333.33</v>
      </c>
      <c r="S45" s="75">
        <f>[1]Tab!G9</f>
        <v>0.23</v>
      </c>
      <c r="T45" s="76">
        <f>ROUND((R45-Q45)*S45+T44,2)</f>
        <v>536.66</v>
      </c>
      <c r="U45" s="76">
        <f ca="1">ROUND(IF(AND($H$38&lt;=R45,$H$38&gt;=Q45),T44+($H$38-R44)*S45,0),2)</f>
        <v>0</v>
      </c>
      <c r="V45" s="6"/>
      <c r="W45" s="6"/>
      <c r="X45" s="6"/>
      <c r="Y45" s="6"/>
      <c r="Z45" s="6"/>
    </row>
    <row r="46" spans="1:26" ht="12" customHeight="1" x14ac:dyDescent="0.2">
      <c r="A46" s="101" t="s">
        <v>142</v>
      </c>
      <c r="B46" s="13"/>
      <c r="C46" s="14"/>
      <c r="D46" s="331"/>
      <c r="E46" s="508"/>
      <c r="F46" s="508"/>
      <c r="G46" s="336"/>
      <c r="H46" s="113" t="s">
        <v>33</v>
      </c>
      <c r="I46" s="151"/>
      <c r="J46" s="306">
        <v>28</v>
      </c>
      <c r="K46" s="412"/>
      <c r="L46" s="413"/>
      <c r="M46" s="413"/>
      <c r="N46" s="413"/>
      <c r="O46" s="414"/>
      <c r="P46" s="6"/>
      <c r="Q46" s="78">
        <f>[1]Tab!E10</f>
        <v>2333.34</v>
      </c>
      <c r="R46" s="74">
        <f>[1]Tab!F10</f>
        <v>4166.67</v>
      </c>
      <c r="S46" s="75">
        <f>[1]Tab!G10</f>
        <v>0.35</v>
      </c>
      <c r="T46" s="76">
        <f>ROUND((R46-Q46)*S46+T45,2)</f>
        <v>1178.33</v>
      </c>
      <c r="U46" s="76">
        <f ca="1">ROUND(IF(AND($H$38&lt;=R46,$H$38&gt;=Q46),T45+($H$38-R45)*S46,0),2)</f>
        <v>0</v>
      </c>
      <c r="V46" s="6"/>
      <c r="W46" s="6"/>
      <c r="X46" s="6"/>
      <c r="Y46" s="6"/>
      <c r="Z46" s="6"/>
    </row>
    <row r="47" spans="1:26" ht="12" customHeight="1" x14ac:dyDescent="0.2">
      <c r="A47" s="104" t="s">
        <v>114</v>
      </c>
      <c r="B47" s="15"/>
      <c r="C47" s="8"/>
      <c r="D47" s="332"/>
      <c r="E47" s="507"/>
      <c r="F47" s="507"/>
      <c r="G47" s="333"/>
      <c r="H47" s="407"/>
      <c r="I47" s="152">
        <f>-H47</f>
        <v>0</v>
      </c>
      <c r="J47" s="306">
        <v>29</v>
      </c>
      <c r="K47" s="412"/>
      <c r="L47" s="413"/>
      <c r="M47" s="413"/>
      <c r="N47" s="413"/>
      <c r="O47" s="414"/>
      <c r="P47" s="1"/>
      <c r="Q47" s="78">
        <f>[1]Tab!E11</f>
        <v>4166.68</v>
      </c>
      <c r="R47" s="74">
        <f>[1]Tab!F11</f>
        <v>0</v>
      </c>
      <c r="S47" s="75">
        <f>[1]Tab!G11</f>
        <v>0.43</v>
      </c>
      <c r="T47" s="76"/>
      <c r="U47" s="76">
        <f ca="1">ROUND(IF(AND($H$38&lt;=R47,$H$38&gt;=Q47),T46+($H$38-R46)*S47,0),2)</f>
        <v>0</v>
      </c>
      <c r="V47" s="1"/>
      <c r="W47" s="1"/>
      <c r="X47" s="1"/>
      <c r="Y47" s="1"/>
      <c r="Z47" s="1"/>
    </row>
    <row r="48" spans="1:26" ht="12" customHeight="1" x14ac:dyDescent="0.2">
      <c r="A48" s="224" t="s">
        <v>137</v>
      </c>
      <c r="B48" s="225"/>
      <c r="C48" s="226" t="s">
        <v>32</v>
      </c>
      <c r="D48" s="337">
        <v>11</v>
      </c>
      <c r="E48" s="513"/>
      <c r="F48" s="513"/>
      <c r="G48" s="338"/>
      <c r="H48" s="339">
        <f>IF(I29=0,0,VLOOKUP($P$3,'[1]Mit-2'!$A$65:$AD$79,17,FALSE))</f>
        <v>0</v>
      </c>
      <c r="I48" s="155">
        <f>IF($I$9="",ROUND(IF($I$29=0,0,-H48/D48),2),-Steuern!N40)</f>
        <v>0</v>
      </c>
      <c r="J48" s="306">
        <v>30</v>
      </c>
      <c r="K48" s="412"/>
      <c r="L48" s="413"/>
      <c r="M48" s="413"/>
      <c r="N48" s="413"/>
      <c r="O48" s="414"/>
      <c r="P48" s="1"/>
      <c r="Q48" s="78">
        <f>[1]Tab!E12</f>
        <v>0</v>
      </c>
      <c r="R48" s="74"/>
      <c r="S48" s="75">
        <f>[1]Tab!G12</f>
        <v>0</v>
      </c>
      <c r="T48" s="252"/>
      <c r="U48" s="76">
        <f ca="1">ROUND(IF($H$38&gt;R47,T47+($H$38-R47)*S48,0),2)</f>
        <v>0</v>
      </c>
      <c r="V48" s="1"/>
      <c r="W48" s="1"/>
      <c r="X48" s="1"/>
      <c r="Y48" s="1"/>
      <c r="Z48" s="1"/>
    </row>
    <row r="49" spans="1:26" ht="12" customHeight="1" x14ac:dyDescent="0.2">
      <c r="A49" s="110" t="s">
        <v>147</v>
      </c>
      <c r="B49" s="231"/>
      <c r="C49" s="232"/>
      <c r="D49" s="233"/>
      <c r="E49" s="514"/>
      <c r="F49" s="515"/>
      <c r="G49" s="234"/>
      <c r="H49" s="235"/>
      <c r="I49" s="153"/>
      <c r="J49" s="310">
        <v>31</v>
      </c>
      <c r="K49" s="412"/>
      <c r="L49" s="413"/>
      <c r="M49" s="413"/>
      <c r="N49" s="413"/>
      <c r="O49" s="414"/>
      <c r="P49" s="1"/>
      <c r="Q49" s="78">
        <f>[1]Tab!E13</f>
        <v>0</v>
      </c>
      <c r="R49" s="74"/>
      <c r="S49" s="75">
        <f>[1]Tab!G13</f>
        <v>0</v>
      </c>
      <c r="T49" s="77"/>
      <c r="U49" s="76">
        <f ca="1">ROUND(IF($H$38&gt;R48,T48+($H$38-R48)*S49,0),2)</f>
        <v>0</v>
      </c>
      <c r="V49" s="1"/>
      <c r="W49" s="1"/>
      <c r="X49" s="1"/>
      <c r="Y49" s="1"/>
      <c r="Z49" s="1"/>
    </row>
    <row r="50" spans="1:26" ht="12" customHeight="1" x14ac:dyDescent="0.2">
      <c r="A50" s="109" t="s">
        <v>139</v>
      </c>
      <c r="B50" s="21"/>
      <c r="C50" s="114" t="s">
        <v>34</v>
      </c>
      <c r="D50" s="114" t="s">
        <v>160</v>
      </c>
      <c r="E50" s="509" t="s">
        <v>161</v>
      </c>
      <c r="F50" s="510"/>
      <c r="G50" s="114" t="s">
        <v>162</v>
      </c>
      <c r="H50" s="230" t="s">
        <v>36</v>
      </c>
      <c r="I50" s="156"/>
      <c r="J50" s="311"/>
      <c r="K50" s="500">
        <f>SUM(K19:K49)</f>
        <v>0</v>
      </c>
      <c r="L50" s="496">
        <f>SUM(L19:L49)</f>
        <v>0</v>
      </c>
      <c r="M50" s="496">
        <f>SUM(M19:M49)</f>
        <v>0</v>
      </c>
      <c r="N50" s="496">
        <f>SUM(N19:N49)</f>
        <v>0</v>
      </c>
      <c r="O50" s="502">
        <f>SUM(O19:O49)</f>
        <v>0</v>
      </c>
      <c r="P50" s="6"/>
      <c r="Q50" s="208" t="s">
        <v>8</v>
      </c>
      <c r="R50" s="209"/>
      <c r="S50" s="79"/>
      <c r="T50" s="64"/>
      <c r="U50" s="80">
        <f ca="1">ROUND(SUM(U44:U47),2)</f>
        <v>0</v>
      </c>
      <c r="V50" s="6"/>
      <c r="W50" s="6"/>
      <c r="X50" s="6"/>
      <c r="Y50" s="6"/>
      <c r="Z50" s="6"/>
    </row>
    <row r="51" spans="1:26" ht="12" customHeight="1" x14ac:dyDescent="0.2">
      <c r="A51" s="104" t="s">
        <v>117</v>
      </c>
      <c r="B51" s="22"/>
      <c r="C51" s="60">
        <f>IF(I29=0,0,Steuern!J76)</f>
        <v>0</v>
      </c>
      <c r="D51" s="60">
        <f>IF(I29=0,0,Steuern!L76)</f>
        <v>0</v>
      </c>
      <c r="E51" s="511">
        <f>IF(I29=0,0,Steuern!N76)</f>
        <v>0</v>
      </c>
      <c r="F51" s="512"/>
      <c r="G51" s="60">
        <f>IF(I29=0,0,Steuern!P76)</f>
        <v>0</v>
      </c>
      <c r="H51" s="67">
        <f>IF(I29=0,0,Steuern!R76)</f>
        <v>0</v>
      </c>
      <c r="I51" s="156"/>
      <c r="J51" s="309"/>
      <c r="K51" s="501"/>
      <c r="L51" s="497"/>
      <c r="M51" s="497"/>
      <c r="N51" s="497"/>
      <c r="O51" s="503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</row>
    <row r="52" spans="1:26" ht="12" customHeight="1" x14ac:dyDescent="0.2">
      <c r="A52" s="110" t="s">
        <v>138</v>
      </c>
      <c r="B52" s="23"/>
      <c r="C52" s="68">
        <f>IF($I$9="",0,Steuern!J89)</f>
        <v>0</v>
      </c>
      <c r="D52" s="68">
        <f>U60</f>
        <v>0</v>
      </c>
      <c r="E52" s="520">
        <f>IF($I$9="",0,conguaglio!F60)</f>
        <v>0</v>
      </c>
      <c r="F52" s="521"/>
      <c r="G52" s="50">
        <f>IF($I$9="",0,conguaglio!G63)</f>
        <v>0</v>
      </c>
      <c r="H52" s="312">
        <f>IF((D52-E52-G52)&lt;0,0,D52-E52-G52)</f>
        <v>0</v>
      </c>
      <c r="I52" s="153">
        <f>IF($I$9="",0,H51-H52)</f>
        <v>0</v>
      </c>
      <c r="J52" s="504" t="s">
        <v>230</v>
      </c>
      <c r="K52" s="505"/>
      <c r="L52" s="505"/>
      <c r="M52" s="505"/>
      <c r="N52" s="505"/>
      <c r="O52" s="506"/>
      <c r="P52" s="6"/>
      <c r="Q52" s="6"/>
      <c r="R52" s="6"/>
      <c r="S52" s="6"/>
      <c r="T52" s="66"/>
      <c r="U52" s="6"/>
      <c r="V52" s="6"/>
      <c r="W52" s="6"/>
      <c r="X52" s="6"/>
      <c r="Y52" s="6"/>
      <c r="Z52" s="6"/>
    </row>
    <row r="53" spans="1:26" ht="15" customHeight="1" x14ac:dyDescent="0.2">
      <c r="A53" s="119" t="s">
        <v>119</v>
      </c>
      <c r="B53" s="26"/>
      <c r="C53" s="26"/>
      <c r="D53" s="26"/>
      <c r="E53" s="26"/>
      <c r="F53" s="26"/>
      <c r="G53" s="26"/>
      <c r="H53" s="26"/>
      <c r="I53" s="154">
        <f ca="1">SUM(I29:I52)</f>
        <v>0</v>
      </c>
      <c r="J53" s="307"/>
      <c r="O53" s="134"/>
      <c r="P53" s="3"/>
      <c r="Q53" s="492" t="s">
        <v>6</v>
      </c>
      <c r="R53" s="493"/>
      <c r="S53" s="494" t="s">
        <v>7</v>
      </c>
      <c r="T53" s="498" t="s">
        <v>5</v>
      </c>
      <c r="U53" s="490" t="s">
        <v>2</v>
      </c>
      <c r="V53" s="3"/>
      <c r="W53" s="3"/>
      <c r="X53" s="3"/>
      <c r="Y53" s="3"/>
      <c r="Z53" s="3"/>
    </row>
    <row r="54" spans="1:26" ht="16.899999999999999" customHeight="1" x14ac:dyDescent="0.2">
      <c r="A54" s="115" t="s">
        <v>120</v>
      </c>
      <c r="B54" s="95" t="s">
        <v>124</v>
      </c>
      <c r="C54" s="191">
        <f>IF($I$9="",0,VLOOKUP($P$3,'[1]Mit-1'!$A$5:$AD$19,22,FALSE))</f>
        <v>0</v>
      </c>
      <c r="D54" s="95" t="s">
        <v>38</v>
      </c>
      <c r="E54" s="522">
        <f>ROUND(IF($I$9="",0,Steuern!$D$89/13.5),2)</f>
        <v>0</v>
      </c>
      <c r="F54" s="523"/>
      <c r="G54" s="95" t="s">
        <v>40</v>
      </c>
      <c r="H54" s="192">
        <f>IF($I$9="",0,Steuern!$F$89)</f>
        <v>0</v>
      </c>
      <c r="I54" s="398">
        <f>C54+E54-H54</f>
        <v>0</v>
      </c>
      <c r="J54" s="568"/>
      <c r="K54" s="476"/>
      <c r="L54" s="476"/>
      <c r="M54" s="476"/>
      <c r="N54" s="476"/>
      <c r="O54" s="477"/>
      <c r="Q54" s="81" t="s">
        <v>0</v>
      </c>
      <c r="R54" s="82" t="s">
        <v>1</v>
      </c>
      <c r="S54" s="495"/>
      <c r="T54" s="499"/>
      <c r="U54" s="491"/>
      <c r="V54" s="1"/>
      <c r="W54" s="1"/>
      <c r="X54" s="1"/>
    </row>
    <row r="55" spans="1:26" ht="16.899999999999999" customHeight="1" x14ac:dyDescent="0.2">
      <c r="A55" s="116" t="s">
        <v>121</v>
      </c>
      <c r="B55" s="117" t="s">
        <v>37</v>
      </c>
      <c r="C55" s="405"/>
      <c r="D55" s="117" t="s">
        <v>39</v>
      </c>
      <c r="E55" s="524"/>
      <c r="F55" s="525"/>
      <c r="G55" s="117" t="s">
        <v>35</v>
      </c>
      <c r="H55" s="407"/>
      <c r="I55" s="399">
        <f>-(E55-H55)</f>
        <v>0</v>
      </c>
      <c r="J55" s="402"/>
      <c r="K55" s="401"/>
      <c r="L55" s="401"/>
      <c r="M55" s="401"/>
      <c r="N55" s="572"/>
      <c r="O55" s="573"/>
      <c r="Q55" s="78">
        <f>[1]Tab!A8</f>
        <v>0</v>
      </c>
      <c r="R55" s="74">
        <f>[1]Tab!D8</f>
        <v>15000</v>
      </c>
      <c r="S55" s="75">
        <f>S44</f>
        <v>0.23</v>
      </c>
      <c r="T55" s="76">
        <f>ROUND(R55*S55,2)</f>
        <v>3450</v>
      </c>
      <c r="U55" s="76">
        <f>ROUND(IF(AND($C$52&lt;=R55,C52&gt;0),$C$52*S55,0),2)</f>
        <v>0</v>
      </c>
      <c r="V55" s="1"/>
      <c r="W55" s="1"/>
      <c r="X55" s="1"/>
    </row>
    <row r="56" spans="1:26" ht="16.899999999999999" customHeight="1" x14ac:dyDescent="0.2">
      <c r="A56" s="453" t="s">
        <v>122</v>
      </c>
      <c r="B56" s="118" t="s">
        <v>125</v>
      </c>
      <c r="C56" s="454">
        <f>ROUND(C54*'[1]Mit-2'!$C$84%,2)</f>
        <v>0</v>
      </c>
      <c r="D56" s="118" t="s">
        <v>262</v>
      </c>
      <c r="E56" s="520">
        <f>ROUND(C56*[1]Tab!$G$142,2)</f>
        <v>0</v>
      </c>
      <c r="F56" s="521"/>
      <c r="G56" s="455"/>
      <c r="H56" s="456"/>
      <c r="I56" s="153">
        <f>C56-E56</f>
        <v>0</v>
      </c>
      <c r="J56" s="402"/>
      <c r="K56" s="401"/>
      <c r="L56" s="401"/>
      <c r="M56" s="401"/>
      <c r="N56" s="572"/>
      <c r="O56" s="573"/>
      <c r="Q56" s="78">
        <f>[1]Tab!A9</f>
        <v>15000.01</v>
      </c>
      <c r="R56" s="74">
        <f>[1]Tab!D9</f>
        <v>28000</v>
      </c>
      <c r="S56" s="75">
        <f>S45</f>
        <v>0.23</v>
      </c>
      <c r="T56" s="76">
        <f>ROUND((R56-Q56)*S56+T55,2)</f>
        <v>6440</v>
      </c>
      <c r="U56" s="76">
        <f>ROUND(IF(AND($C$52&lt;=R56,$C$52&gt;=Q56),T55+($C$52-R55)*S56,0),2)</f>
        <v>0</v>
      </c>
    </row>
    <row r="57" spans="1:26" ht="12" customHeight="1" x14ac:dyDescent="0.2">
      <c r="A57" s="448" t="s">
        <v>242</v>
      </c>
      <c r="B57" s="449"/>
      <c r="C57" s="449"/>
      <c r="D57" s="450"/>
      <c r="E57" s="518"/>
      <c r="F57" s="518"/>
      <c r="G57" s="450"/>
      <c r="H57" s="451"/>
      <c r="I57" s="452">
        <f ca="1">ROUND(IF(SUM(H39:H40)&gt;=0,0,VLOOKUP($P$3,'[1]Mit-1'!$A$5:$AC$19,20,FALSE)/[1]Firma!$C$24*IF(R9=0,T9,R9)),2)</f>
        <v>0</v>
      </c>
      <c r="J57" s="569"/>
      <c r="K57" s="570"/>
      <c r="L57" s="570"/>
      <c r="M57" s="570"/>
      <c r="N57" s="570"/>
      <c r="O57" s="571"/>
      <c r="P57" s="3"/>
      <c r="Q57" s="78">
        <f>[1]Tab!A10</f>
        <v>28000.01</v>
      </c>
      <c r="R57" s="74">
        <f>[1]Tab!D10</f>
        <v>50000</v>
      </c>
      <c r="S57" s="75">
        <f>S46</f>
        <v>0.35</v>
      </c>
      <c r="T57" s="76">
        <f>ROUND((R57-Q57)*S57+T56,2)</f>
        <v>14140</v>
      </c>
      <c r="U57" s="76">
        <f>ROUND(IF(AND($C$52&lt;=R57,$C$52&gt;=Q57),T56+($C$52-R56)*S57,0),2)</f>
        <v>0</v>
      </c>
      <c r="V57" s="3"/>
      <c r="W57" s="3"/>
      <c r="X57" s="3"/>
      <c r="Y57" s="3"/>
      <c r="Z57" s="3"/>
    </row>
    <row r="58" spans="1:26" ht="12" customHeight="1" x14ac:dyDescent="0.2">
      <c r="A58" s="465"/>
      <c r="B58" s="466"/>
      <c r="C58" s="466"/>
      <c r="D58" s="467"/>
      <c r="E58" s="519"/>
      <c r="F58" s="519"/>
      <c r="G58" s="467"/>
      <c r="H58" s="468"/>
      <c r="I58" s="469"/>
      <c r="J58" s="402"/>
      <c r="K58" s="401"/>
      <c r="L58" s="401"/>
      <c r="M58" s="401"/>
      <c r="N58" s="572"/>
      <c r="O58" s="573"/>
      <c r="P58" s="3"/>
      <c r="Q58" s="78">
        <f>[1]Tab!A11</f>
        <v>50000.01</v>
      </c>
      <c r="R58" s="74">
        <f>[1]Tab!D11</f>
        <v>0</v>
      </c>
      <c r="S58" s="75">
        <f>S47</f>
        <v>0.43</v>
      </c>
      <c r="T58" s="76"/>
      <c r="U58" s="76">
        <f>ROUND(IF(AND($C$52&lt;=R58,$C$52&gt;=Q58),T57+($C$52-R57)*S58,0),2)</f>
        <v>0</v>
      </c>
      <c r="V58" s="3"/>
      <c r="W58" s="3"/>
      <c r="X58" s="3"/>
      <c r="Y58" s="3"/>
      <c r="Z58" s="3"/>
    </row>
    <row r="59" spans="1:26" ht="12" customHeight="1" x14ac:dyDescent="0.2">
      <c r="A59" s="106" t="s">
        <v>123</v>
      </c>
      <c r="B59" s="8"/>
      <c r="C59" s="49"/>
      <c r="D59" s="117" t="s">
        <v>41</v>
      </c>
      <c r="E59" s="516"/>
      <c r="F59" s="517"/>
      <c r="G59" s="117" t="s">
        <v>42</v>
      </c>
      <c r="H59" s="145">
        <f>IF(I29=0,0,SUM(I60-Q61))</f>
        <v>0</v>
      </c>
      <c r="I59" s="399">
        <f>IF(I29=0,0,I60-Q61)</f>
        <v>0</v>
      </c>
      <c r="J59" s="402"/>
      <c r="K59" s="401"/>
      <c r="L59" s="401"/>
      <c r="M59" s="401"/>
      <c r="N59" s="572"/>
      <c r="O59" s="573"/>
      <c r="P59" s="3"/>
      <c r="Q59" s="78">
        <f>[1]Tab!A12</f>
        <v>0</v>
      </c>
      <c r="R59" s="74"/>
      <c r="S59" s="75">
        <f>S48</f>
        <v>0</v>
      </c>
      <c r="T59" s="77"/>
      <c r="U59" s="76">
        <f>ROUND(IF($C$52&gt;R58,T58+($C$52-R58)*S59,0),2)</f>
        <v>0</v>
      </c>
      <c r="V59" s="3"/>
      <c r="W59" s="3"/>
      <c r="X59" s="3"/>
      <c r="Y59" s="3"/>
      <c r="Z59" s="3"/>
    </row>
    <row r="60" spans="1:26" ht="13.5" customHeight="1" x14ac:dyDescent="0.2">
      <c r="A60" s="319" t="s">
        <v>43</v>
      </c>
      <c r="B60" s="320"/>
      <c r="C60" s="320"/>
      <c r="D60" s="320"/>
      <c r="E60" s="320"/>
      <c r="F60" s="320"/>
      <c r="G60" s="320"/>
      <c r="H60" s="320"/>
      <c r="I60" s="400">
        <f>IF(I29=0,0,ROUNDUP(Q61,0))</f>
        <v>0</v>
      </c>
      <c r="J60" s="403"/>
      <c r="K60" s="404"/>
      <c r="L60" s="404"/>
      <c r="M60" s="404"/>
      <c r="N60" s="566"/>
      <c r="O60" s="567"/>
      <c r="P60" s="6"/>
      <c r="Q60" s="208" t="s">
        <v>8</v>
      </c>
      <c r="R60" s="209"/>
      <c r="S60" s="79"/>
      <c r="T60" s="64"/>
      <c r="U60" s="80">
        <f>ROUND(SUM(U55:U59),2)</f>
        <v>0</v>
      </c>
      <c r="V60" s="6"/>
      <c r="W60" s="6"/>
      <c r="X60" s="6"/>
      <c r="Y60" s="6"/>
      <c r="Z60" s="6"/>
    </row>
    <row r="61" spans="1:26" ht="15" customHeight="1" x14ac:dyDescent="0.2">
      <c r="A61" s="1"/>
      <c r="B61" s="1"/>
      <c r="C61" s="1"/>
      <c r="D61" s="1"/>
      <c r="E61" s="1"/>
      <c r="F61" s="1"/>
      <c r="G61" s="1"/>
      <c r="H61" s="1"/>
      <c r="I61" s="1"/>
      <c r="K61" s="1"/>
      <c r="L61" s="1"/>
      <c r="M61" s="1"/>
      <c r="Q61" s="70">
        <f ca="1">SUM(I53:I58,E59)</f>
        <v>0</v>
      </c>
    </row>
    <row r="64" spans="1:26" x14ac:dyDescent="0.2">
      <c r="A64" s="71" t="str">
        <f>'[1]Beschr-Descr.'!A1</f>
        <v xml:space="preserve">Beschreibung Lohnelemente  </v>
      </c>
    </row>
    <row r="65" spans="1:6" x14ac:dyDescent="0.2">
      <c r="A65" s="71" t="str">
        <f>'[1]Beschr-Descr.'!A2</f>
        <v>Descrizione elementi di retribuzione</v>
      </c>
      <c r="F65" s="71" t="s">
        <v>3</v>
      </c>
    </row>
    <row r="66" spans="1:6" x14ac:dyDescent="0.2">
      <c r="A66" s="84">
        <f>'[1]Beschr-Descr.'!A3</f>
        <v>0</v>
      </c>
      <c r="B66" s="84">
        <f>'[1]Beschr-Descr.'!B3</f>
        <v>0</v>
      </c>
      <c r="C66" s="84">
        <f>'[1]Beschr-Descr.'!C3</f>
        <v>0</v>
      </c>
      <c r="D66" s="84">
        <f>'[1]Beschr-Descr.'!D3</f>
        <v>0</v>
      </c>
      <c r="E66" s="84">
        <f>'[1]Beschr-Descr.'!E3</f>
        <v>0</v>
      </c>
    </row>
    <row r="67" spans="1:6" x14ac:dyDescent="0.2">
      <c r="A67" s="84" t="str">
        <f>'[1]Beschr-Descr.'!A4</f>
        <v>Normalentlohnung</v>
      </c>
      <c r="B67" s="84"/>
      <c r="C67" s="84">
        <f>'[1]Beschr-Descr.'!C4</f>
        <v>0</v>
      </c>
      <c r="D67" s="84">
        <f>'[1]Beschr-Descr.'!D4</f>
        <v>0</v>
      </c>
      <c r="E67" s="207">
        <f>'[1]Beschr-Descr.'!E4</f>
        <v>0</v>
      </c>
      <c r="F67" t="s">
        <v>44</v>
      </c>
    </row>
    <row r="68" spans="1:6" x14ac:dyDescent="0.2">
      <c r="A68" s="84" t="str">
        <f>'[1]Beschr-Descr.'!A5</f>
        <v>Genossener Urlaub</v>
      </c>
      <c r="B68" s="84"/>
      <c r="C68" s="84">
        <f>'[1]Beschr-Descr.'!C5</f>
        <v>0</v>
      </c>
      <c r="D68" s="84">
        <f>'[1]Beschr-Descr.'!D5</f>
        <v>0</v>
      </c>
      <c r="E68" s="207">
        <f>'[1]Beschr-Descr.'!E5</f>
        <v>0</v>
      </c>
      <c r="F68" t="s">
        <v>45</v>
      </c>
    </row>
    <row r="69" spans="1:6" x14ac:dyDescent="0.2">
      <c r="A69" s="84" t="str">
        <f>'[1]Beschr-Descr.'!A6</f>
        <v>Genossene Freistellungen</v>
      </c>
      <c r="B69" s="84"/>
      <c r="C69" s="84">
        <f>'[1]Beschr-Descr.'!C6</f>
        <v>0</v>
      </c>
      <c r="D69" s="84">
        <f>'[1]Beschr-Descr.'!D6</f>
        <v>0</v>
      </c>
      <c r="E69" s="207">
        <f>'[1]Beschr-Descr.'!E6</f>
        <v>0</v>
      </c>
      <c r="F69" t="s">
        <v>46</v>
      </c>
    </row>
    <row r="70" spans="1:6" x14ac:dyDescent="0.2">
      <c r="A70" s="84" t="str">
        <f>'[1]Beschr-Descr.'!A7</f>
        <v>Nicht genossener Urlaub</v>
      </c>
      <c r="B70" s="84"/>
      <c r="C70" s="84">
        <f>'[1]Beschr-Descr.'!C7</f>
        <v>0</v>
      </c>
      <c r="D70" s="84">
        <f>'[1]Beschr-Descr.'!D7</f>
        <v>0</v>
      </c>
      <c r="E70" s="207">
        <f>'[1]Beschr-Descr.'!E7</f>
        <v>0</v>
      </c>
    </row>
    <row r="71" spans="1:6" x14ac:dyDescent="0.2">
      <c r="A71" s="84" t="str">
        <f>'[1]Beschr-Descr.'!A8</f>
        <v>Nicht genossene Freistellungen</v>
      </c>
      <c r="B71" s="84"/>
      <c r="C71" s="84">
        <f>'[1]Beschr-Descr.'!C8</f>
        <v>0</v>
      </c>
      <c r="D71" s="84">
        <f>'[1]Beschr-Descr.'!D8</f>
        <v>0</v>
      </c>
      <c r="E71" s="207">
        <f>'[1]Beschr-Descr.'!E8</f>
        <v>0</v>
      </c>
    </row>
    <row r="72" spans="1:6" x14ac:dyDescent="0.2">
      <c r="A72" s="84" t="str">
        <f>'[1]Beschr-Descr.'!A9</f>
        <v>Nicht genossene Feiertage</v>
      </c>
      <c r="B72" s="84"/>
      <c r="C72" s="84">
        <f>'[1]Beschr-Descr.'!C9</f>
        <v>0</v>
      </c>
      <c r="D72" s="84">
        <f>'[1]Beschr-Descr.'!D9</f>
        <v>0</v>
      </c>
      <c r="E72" s="207">
        <f>'[1]Beschr-Descr.'!E9</f>
        <v>0</v>
      </c>
    </row>
    <row r="73" spans="1:6" x14ac:dyDescent="0.2">
      <c r="A73" s="84" t="str">
        <f>'[1]Beschr-Descr.'!A10</f>
        <v>Zulage für Kassarisiko</v>
      </c>
      <c r="B73" s="84"/>
      <c r="C73" s="84">
        <f>'[1]Beschr-Descr.'!C10</f>
        <v>0</v>
      </c>
      <c r="D73" s="84">
        <f>'[1]Beschr-Descr.'!D10</f>
        <v>0</v>
      </c>
      <c r="E73" s="207">
        <f>'[1]Beschr-Descr.'!E10</f>
        <v>0</v>
      </c>
    </row>
    <row r="74" spans="1:6" x14ac:dyDescent="0.2">
      <c r="A74" s="84">
        <f>'[1]Beschr-Descr.'!A11</f>
        <v>0</v>
      </c>
      <c r="B74" s="84"/>
      <c r="C74" s="84">
        <f>'[1]Beschr-Descr.'!C11</f>
        <v>0</v>
      </c>
      <c r="D74" s="84">
        <f>'[1]Beschr-Descr.'!D11</f>
        <v>0</v>
      </c>
      <c r="E74" s="207">
        <f>'[1]Beschr-Descr.'!E11</f>
        <v>0</v>
      </c>
    </row>
    <row r="75" spans="1:6" x14ac:dyDescent="0.2">
      <c r="A75" s="84" t="str">
        <f>'[1]Beschr-Descr.'!A12</f>
        <v xml:space="preserve">Überstunden 15%  </v>
      </c>
      <c r="B75" s="84"/>
      <c r="C75" s="84">
        <f>'[1]Beschr-Descr.'!C12</f>
        <v>0</v>
      </c>
      <c r="D75" s="84">
        <f>'[1]Beschr-Descr.'!D12</f>
        <v>0</v>
      </c>
      <c r="E75" s="207">
        <f>'[1]Beschr-Descr.'!E12</f>
        <v>0.15</v>
      </c>
    </row>
    <row r="76" spans="1:6" x14ac:dyDescent="0.2">
      <c r="A76" s="84" t="str">
        <f>'[1]Beschr-Descr.'!A13</f>
        <v xml:space="preserve">Überstunden 20%  </v>
      </c>
      <c r="B76" s="84"/>
      <c r="C76" s="84">
        <f>'[1]Beschr-Descr.'!C13</f>
        <v>0</v>
      </c>
      <c r="D76" s="84">
        <f>'[1]Beschr-Descr.'!D13</f>
        <v>0</v>
      </c>
      <c r="E76" s="207">
        <f>'[1]Beschr-Descr.'!E13</f>
        <v>0.2</v>
      </c>
    </row>
    <row r="77" spans="1:6" x14ac:dyDescent="0.2">
      <c r="A77" s="84" t="str">
        <f>'[1]Beschr-Descr.'!A14</f>
        <v xml:space="preserve">Überstunden 30%  </v>
      </c>
      <c r="B77" s="84"/>
      <c r="C77" s="84">
        <f>'[1]Beschr-Descr.'!C14</f>
        <v>0</v>
      </c>
      <c r="D77" s="84">
        <f>'[1]Beschr-Descr.'!D14</f>
        <v>0</v>
      </c>
      <c r="E77" s="207">
        <f>'[1]Beschr-Descr.'!E14</f>
        <v>0.3</v>
      </c>
    </row>
    <row r="78" spans="1:6" x14ac:dyDescent="0.2">
      <c r="A78" s="84" t="str">
        <f>'[1]Beschr-Descr.'!A15</f>
        <v xml:space="preserve">Überstunden 50%  </v>
      </c>
      <c r="B78" s="84"/>
      <c r="C78" s="84">
        <f>'[1]Beschr-Descr.'!C15</f>
        <v>0</v>
      </c>
      <c r="D78" s="84">
        <f>'[1]Beschr-Descr.'!D15</f>
        <v>0</v>
      </c>
      <c r="E78" s="207">
        <f>'[1]Beschr-Descr.'!E15</f>
        <v>0.5</v>
      </c>
    </row>
    <row r="79" spans="1:6" x14ac:dyDescent="0.2">
      <c r="A79" s="84" t="str">
        <f>'[1]Beschr-Descr.'!A16</f>
        <v>Nachtstunden 50%</v>
      </c>
      <c r="B79" s="84"/>
      <c r="C79" s="84">
        <f>'[1]Beschr-Descr.'!C16</f>
        <v>0</v>
      </c>
      <c r="D79" s="84">
        <f>'[1]Beschr-Descr.'!D16</f>
        <v>0</v>
      </c>
      <c r="E79" s="207">
        <f>'[1]Beschr-Descr.'!E16</f>
        <v>0.5</v>
      </c>
    </row>
    <row r="80" spans="1:6" x14ac:dyDescent="0.2">
      <c r="A80" s="84">
        <f>'[1]Beschr-Descr.'!A17</f>
        <v>0</v>
      </c>
      <c r="B80" s="84"/>
      <c r="C80" s="84">
        <f>'[1]Beschr-Descr.'!C17</f>
        <v>0</v>
      </c>
      <c r="D80" s="84">
        <f>'[1]Beschr-Descr.'!D17</f>
        <v>0</v>
      </c>
      <c r="E80" s="207">
        <f>'[1]Beschr-Descr.'!E17</f>
        <v>0</v>
      </c>
    </row>
    <row r="81" spans="1:5" x14ac:dyDescent="0.2">
      <c r="A81" s="84" t="str">
        <f>'[1]Beschr-Descr.'!A18</f>
        <v>Krankheit gesamt</v>
      </c>
      <c r="B81" s="84"/>
      <c r="C81" s="84">
        <f>'[1]Beschr-Descr.'!C18</f>
        <v>0</v>
      </c>
      <c r="D81" s="84">
        <f>'[1]Beschr-Descr.'!D18</f>
        <v>0</v>
      </c>
      <c r="E81" s="207">
        <f>'[1]Beschr-Descr.'!E18</f>
        <v>0</v>
      </c>
    </row>
    <row r="82" spans="1:5" x14ac:dyDescent="0.2">
      <c r="A82" s="84" t="str">
        <f>'[1]Beschr-Descr.'!A19</f>
        <v xml:space="preserve">Krankheit INPS-Anteil 50,00% </v>
      </c>
      <c r="B82" s="84"/>
      <c r="C82" s="84">
        <f>'[1]Beschr-Descr.'!C19</f>
        <v>0</v>
      </c>
      <c r="D82" s="84">
        <f>'[1]Beschr-Descr.'!D19</f>
        <v>0</v>
      </c>
      <c r="E82" s="207">
        <f>'[1]Beschr-Descr.'!E19</f>
        <v>-0.5</v>
      </c>
    </row>
    <row r="83" spans="1:5" x14ac:dyDescent="0.2">
      <c r="A83" s="84" t="str">
        <f>'[1]Beschr-Descr.'!A20</f>
        <v xml:space="preserve">Krankheit INPS-Anteil 66,67% </v>
      </c>
      <c r="B83" s="84"/>
      <c r="C83" s="84">
        <f>'[1]Beschr-Descr.'!C20</f>
        <v>0</v>
      </c>
      <c r="D83" s="84">
        <f>'[1]Beschr-Descr.'!D20</f>
        <v>0</v>
      </c>
      <c r="E83" s="207">
        <f>'[1]Beschr-Descr.'!E20</f>
        <v>-0.66669999999999996</v>
      </c>
    </row>
    <row r="84" spans="1:5" x14ac:dyDescent="0.2">
      <c r="A84" s="84" t="str">
        <f>'[1]Beschr-Descr.'!A21</f>
        <v>Mutterschaft Gesamtbetrag</v>
      </c>
      <c r="B84" s="84"/>
      <c r="C84" s="84">
        <f>'[1]Beschr-Descr.'!C21</f>
        <v>0</v>
      </c>
      <c r="D84" s="84">
        <f>'[1]Beschr-Descr.'!D21</f>
        <v>0</v>
      </c>
      <c r="E84" s="207">
        <f>'[1]Beschr-Descr.'!E21</f>
        <v>0</v>
      </c>
    </row>
    <row r="85" spans="1:5" x14ac:dyDescent="0.2">
      <c r="A85" s="84" t="str">
        <f>'[1]Beschr-Descr.'!A22</f>
        <v>Mutterschaft INPS-Anteil 80,00%</v>
      </c>
      <c r="B85" s="84"/>
      <c r="C85" s="84">
        <f>'[1]Beschr-Descr.'!C22</f>
        <v>0</v>
      </c>
      <c r="D85" s="84">
        <f>'[1]Beschr-Descr.'!D22</f>
        <v>0</v>
      </c>
      <c r="E85" s="207">
        <f>'[1]Beschr-Descr.'!E22</f>
        <v>-0.8</v>
      </c>
    </row>
    <row r="86" spans="1:5" x14ac:dyDescent="0.2">
      <c r="A86" s="84" t="str">
        <f>'[1]Beschr-Descr.'!A23</f>
        <v>Abzug Bruttoberechnung Krankengeld INPS</v>
      </c>
      <c r="B86" s="84"/>
      <c r="C86" s="84">
        <f>'[1]Beschr-Descr.'!C23</f>
        <v>0</v>
      </c>
      <c r="D86" s="84">
        <f>'[1]Beschr-Descr.'!D23</f>
        <v>0</v>
      </c>
      <c r="E86" s="207">
        <f>'[1]Beschr-Descr.'!E23</f>
        <v>0.10120030833608633</v>
      </c>
    </row>
    <row r="87" spans="1:5" x14ac:dyDescent="0.2">
      <c r="A87" s="84">
        <f>'[1]Beschr-Descr.'!A24</f>
        <v>0</v>
      </c>
      <c r="B87" s="84"/>
      <c r="C87" s="84">
        <f>'[1]Beschr-Descr.'!C24</f>
        <v>0</v>
      </c>
      <c r="D87" s="84">
        <f>'[1]Beschr-Descr.'!D24</f>
        <v>0</v>
      </c>
      <c r="E87" s="207">
        <f>'[1]Beschr-Descr.'!E24</f>
        <v>0</v>
      </c>
    </row>
    <row r="88" spans="1:5" x14ac:dyDescent="0.2">
      <c r="A88" s="84" t="str">
        <f>'[1]Beschr-Descr.'!A25</f>
        <v xml:space="preserve">13. Monatsgehalt  </v>
      </c>
      <c r="B88" s="84"/>
      <c r="C88" s="84">
        <f>'[1]Beschr-Descr.'!C25</f>
        <v>0</v>
      </c>
      <c r="D88" s="84">
        <f>'[1]Beschr-Descr.'!D25</f>
        <v>0</v>
      </c>
      <c r="E88" s="207">
        <f>'[1]Beschr-Descr.'!E25</f>
        <v>0</v>
      </c>
    </row>
    <row r="89" spans="1:5" x14ac:dyDescent="0.2">
      <c r="A89" s="84" t="str">
        <f>'[1]Beschr-Descr.'!A26</f>
        <v xml:space="preserve">14. Monatsgehalt  </v>
      </c>
      <c r="B89" s="84"/>
      <c r="C89" s="84">
        <f>'[1]Beschr-Descr.'!C26</f>
        <v>0</v>
      </c>
      <c r="D89" s="84">
        <f>'[1]Beschr-Descr.'!D26</f>
        <v>0</v>
      </c>
      <c r="E89" s="207">
        <f>'[1]Beschr-Descr.'!E26</f>
        <v>0</v>
      </c>
    </row>
    <row r="90" spans="1:5" x14ac:dyDescent="0.2">
      <c r="A90" s="84" t="str">
        <f>'[1]Beschr-Descr.'!A27</f>
        <v xml:space="preserve">Nichteinhaltung Kündigungsfrist  </v>
      </c>
      <c r="B90" s="84"/>
      <c r="C90" s="84">
        <f>'[1]Beschr-Descr.'!C27</f>
        <v>0</v>
      </c>
      <c r="D90" s="84">
        <f>'[1]Beschr-Descr.'!D27</f>
        <v>0</v>
      </c>
      <c r="E90" s="207">
        <f>'[1]Beschr-Descr.'!E27</f>
        <v>0</v>
      </c>
    </row>
    <row r="91" spans="1:5" x14ac:dyDescent="0.2">
      <c r="A91" s="84" t="str">
        <f>'[1]Beschr-Descr.'!A28</f>
        <v>Una Tantum</v>
      </c>
      <c r="B91" s="84"/>
      <c r="C91" s="84">
        <f>'[1]Beschr-Descr.'!C28</f>
        <v>0</v>
      </c>
      <c r="D91" s="84">
        <f>'[1]Beschr-Descr.'!D28</f>
        <v>0</v>
      </c>
      <c r="E91" s="207">
        <f>'[1]Beschr-Descr.'!E28</f>
        <v>0</v>
      </c>
    </row>
    <row r="92" spans="1:5" x14ac:dyDescent="0.2">
      <c r="A92" s="84" t="str">
        <f>'[1]Beschr-Descr.'!A29</f>
        <v>Prämie</v>
      </c>
      <c r="B92" s="84"/>
      <c r="C92" s="84">
        <f>'[1]Beschr-Descr.'!C29</f>
        <v>0</v>
      </c>
      <c r="D92" s="84">
        <f>'[1]Beschr-Descr.'!D29</f>
        <v>0</v>
      </c>
      <c r="E92" s="207">
        <f>'[1]Beschr-Descr.'!E29</f>
        <v>0</v>
      </c>
    </row>
    <row r="93" spans="1:5" x14ac:dyDescent="0.2">
      <c r="A93" s="84">
        <f>'[1]Beschr-Descr.'!A30</f>
        <v>0</v>
      </c>
      <c r="B93" s="84"/>
      <c r="C93" s="84">
        <f>'[1]Beschr-Descr.'!C30</f>
        <v>0</v>
      </c>
      <c r="D93" s="84">
        <f>'[1]Beschr-Descr.'!D30</f>
        <v>0</v>
      </c>
      <c r="E93" s="207">
        <f>'[1]Beschr-Descr.'!E30</f>
        <v>0</v>
      </c>
    </row>
    <row r="94" spans="1:5" x14ac:dyDescent="0.2">
      <c r="A94" s="84">
        <f>'[1]Beschr-Descr.'!A31</f>
        <v>0</v>
      </c>
      <c r="B94" s="84"/>
      <c r="C94" s="84">
        <f>'[1]Beschr-Descr.'!C31</f>
        <v>0</v>
      </c>
      <c r="D94" s="84">
        <f>'[1]Beschr-Descr.'!D31</f>
        <v>0</v>
      </c>
      <c r="E94" s="207">
        <f>'[1]Beschr-Descr.'!E31</f>
        <v>0</v>
      </c>
    </row>
    <row r="95" spans="1:5" x14ac:dyDescent="0.2">
      <c r="A95" s="84" t="str">
        <f>'[1]Beschr-Descr.'!A32</f>
        <v xml:space="preserve">Retribuzione ordinaria </v>
      </c>
      <c r="B95" s="84"/>
      <c r="C95" s="84">
        <f>'[1]Beschr-Descr.'!C32</f>
        <v>0</v>
      </c>
      <c r="D95" s="84">
        <f>'[1]Beschr-Descr.'!D32</f>
        <v>0</v>
      </c>
      <c r="E95" s="207">
        <f>'[1]Beschr-Descr.'!E32</f>
        <v>0</v>
      </c>
    </row>
    <row r="96" spans="1:5" x14ac:dyDescent="0.2">
      <c r="A96" s="84" t="str">
        <f>'[1]Beschr-Descr.'!A33</f>
        <v>Ferie godute</v>
      </c>
      <c r="B96" s="84"/>
      <c r="C96" s="84">
        <f>'[1]Beschr-Descr.'!C33</f>
        <v>0</v>
      </c>
      <c r="D96" s="84">
        <f>'[1]Beschr-Descr.'!D33</f>
        <v>0</v>
      </c>
      <c r="E96" s="207">
        <f>'[1]Beschr-Descr.'!E33</f>
        <v>0</v>
      </c>
    </row>
    <row r="97" spans="1:5" x14ac:dyDescent="0.2">
      <c r="A97" s="84" t="str">
        <f>'[1]Beschr-Descr.'!A34</f>
        <v>Permessi goduti</v>
      </c>
      <c r="B97" s="84"/>
      <c r="C97" s="84">
        <f>'[1]Beschr-Descr.'!C34</f>
        <v>0</v>
      </c>
      <c r="D97" s="84">
        <f>'[1]Beschr-Descr.'!D34</f>
        <v>0</v>
      </c>
      <c r="E97" s="207">
        <f>'[1]Beschr-Descr.'!E34</f>
        <v>0</v>
      </c>
    </row>
    <row r="98" spans="1:5" x14ac:dyDescent="0.2">
      <c r="A98" s="84" t="str">
        <f>'[1]Beschr-Descr.'!A35</f>
        <v>Ferie non godute</v>
      </c>
      <c r="B98" s="84"/>
      <c r="C98" s="84">
        <f>'[1]Beschr-Descr.'!C35</f>
        <v>0</v>
      </c>
      <c r="D98" s="84">
        <f>'[1]Beschr-Descr.'!D35</f>
        <v>0</v>
      </c>
      <c r="E98" s="207">
        <f>'[1]Beschr-Descr.'!E35</f>
        <v>0</v>
      </c>
    </row>
    <row r="99" spans="1:5" x14ac:dyDescent="0.2">
      <c r="A99" s="84" t="str">
        <f>'[1]Beschr-Descr.'!A36</f>
        <v>Ferie non godute</v>
      </c>
      <c r="B99" s="84"/>
      <c r="C99" s="84">
        <f>'[1]Beschr-Descr.'!C36</f>
        <v>0</v>
      </c>
      <c r="D99" s="84">
        <f>'[1]Beschr-Descr.'!D36</f>
        <v>0</v>
      </c>
      <c r="E99" s="207">
        <f>'[1]Beschr-Descr.'!E36</f>
        <v>0</v>
      </c>
    </row>
    <row r="100" spans="1:5" x14ac:dyDescent="0.2">
      <c r="A100" s="84" t="str">
        <f>'[1]Beschr-Descr.'!A37</f>
        <v>Festività non godute</v>
      </c>
      <c r="B100" s="84"/>
      <c r="C100" s="84">
        <f>'[1]Beschr-Descr.'!C37</f>
        <v>0</v>
      </c>
      <c r="D100" s="84">
        <f>'[1]Beschr-Descr.'!D37</f>
        <v>0</v>
      </c>
      <c r="E100" s="207">
        <f>'[1]Beschr-Descr.'!E37</f>
        <v>0</v>
      </c>
    </row>
    <row r="101" spans="1:5" x14ac:dyDescent="0.2">
      <c r="A101" s="84" t="str">
        <f>'[1]Beschr-Descr.'!A38</f>
        <v>Indennità rischio cassa</v>
      </c>
      <c r="B101" s="84"/>
      <c r="C101" s="84">
        <f>'[1]Beschr-Descr.'!C38</f>
        <v>0</v>
      </c>
      <c r="D101" s="84">
        <f>'[1]Beschr-Descr.'!D38</f>
        <v>0</v>
      </c>
      <c r="E101" s="207">
        <f>'[1]Beschr-Descr.'!E38</f>
        <v>0</v>
      </c>
    </row>
    <row r="102" spans="1:5" x14ac:dyDescent="0.2">
      <c r="A102" s="84">
        <f>'[1]Beschr-Descr.'!A39</f>
        <v>0</v>
      </c>
      <c r="B102" s="84"/>
      <c r="C102" s="84">
        <f>'[1]Beschr-Descr.'!C39</f>
        <v>0</v>
      </c>
      <c r="D102" s="84">
        <f>'[1]Beschr-Descr.'!D39</f>
        <v>0</v>
      </c>
      <c r="E102" s="207">
        <f>'[1]Beschr-Descr.'!E39</f>
        <v>0</v>
      </c>
    </row>
    <row r="103" spans="1:5" x14ac:dyDescent="0.2">
      <c r="A103" s="84" t="str">
        <f>'[1]Beschr-Descr.'!A40</f>
        <v>Ore straordinarie 15%</v>
      </c>
      <c r="B103" s="84"/>
      <c r="C103" s="84">
        <f>'[1]Beschr-Descr.'!C40</f>
        <v>0</v>
      </c>
      <c r="D103" s="84">
        <f>'[1]Beschr-Descr.'!D40</f>
        <v>0</v>
      </c>
      <c r="E103" s="207">
        <f>'[1]Beschr-Descr.'!E40</f>
        <v>0.15</v>
      </c>
    </row>
    <row r="104" spans="1:5" x14ac:dyDescent="0.2">
      <c r="A104" s="84" t="str">
        <f>'[1]Beschr-Descr.'!A41</f>
        <v>Ore straordinarie 20%</v>
      </c>
      <c r="B104" s="84"/>
      <c r="C104" s="84">
        <f>'[1]Beschr-Descr.'!C41</f>
        <v>0</v>
      </c>
      <c r="D104" s="84">
        <f>'[1]Beschr-Descr.'!D41</f>
        <v>0</v>
      </c>
      <c r="E104" s="207">
        <f>'[1]Beschr-Descr.'!E41</f>
        <v>0.2</v>
      </c>
    </row>
    <row r="105" spans="1:5" x14ac:dyDescent="0.2">
      <c r="A105" s="84" t="str">
        <f>'[1]Beschr-Descr.'!A42</f>
        <v>Ore straordinarie 30%</v>
      </c>
      <c r="B105" s="84"/>
      <c r="C105" s="84">
        <f>'[1]Beschr-Descr.'!C42</f>
        <v>0</v>
      </c>
      <c r="D105" s="84">
        <f>'[1]Beschr-Descr.'!D42</f>
        <v>0</v>
      </c>
      <c r="E105" s="207">
        <f>'[1]Beschr-Descr.'!E42</f>
        <v>0.3</v>
      </c>
    </row>
    <row r="106" spans="1:5" x14ac:dyDescent="0.2">
      <c r="A106" s="84" t="str">
        <f>'[1]Beschr-Descr.'!A43</f>
        <v>Ore straordinarie 50%</v>
      </c>
      <c r="B106" s="84"/>
      <c r="C106" s="84">
        <f>'[1]Beschr-Descr.'!C43</f>
        <v>0</v>
      </c>
      <c r="D106" s="84">
        <f>'[1]Beschr-Descr.'!D43</f>
        <v>0</v>
      </c>
      <c r="E106" s="207">
        <f>'[1]Beschr-Descr.'!E43</f>
        <v>0.5</v>
      </c>
    </row>
    <row r="107" spans="1:5" x14ac:dyDescent="0.2">
      <c r="A107" s="84" t="str">
        <f>'[1]Beschr-Descr.'!A44</f>
        <v>Ore notturne 50%</v>
      </c>
      <c r="B107" s="84"/>
      <c r="C107" s="84">
        <f>'[1]Beschr-Descr.'!C44</f>
        <v>0</v>
      </c>
      <c r="D107" s="84">
        <f>'[1]Beschr-Descr.'!D44</f>
        <v>0</v>
      </c>
      <c r="E107" s="207">
        <f>'[1]Beschr-Descr.'!E44</f>
        <v>0.5</v>
      </c>
    </row>
    <row r="108" spans="1:5" x14ac:dyDescent="0.2">
      <c r="A108" s="84">
        <f>'[1]Beschr-Descr.'!A45</f>
        <v>0</v>
      </c>
      <c r="B108" s="84"/>
      <c r="C108" s="84">
        <f>'[1]Beschr-Descr.'!C45</f>
        <v>0</v>
      </c>
      <c r="D108" s="84">
        <f>'[1]Beschr-Descr.'!D45</f>
        <v>0</v>
      </c>
      <c r="E108" s="207">
        <f>'[1]Beschr-Descr.'!E45</f>
        <v>0</v>
      </c>
    </row>
    <row r="109" spans="1:5" x14ac:dyDescent="0.2">
      <c r="A109" s="84" t="str">
        <f>'[1]Beschr-Descr.'!A46</f>
        <v>Indennità di malattia totale</v>
      </c>
      <c r="B109" s="84"/>
      <c r="C109" s="84">
        <f>'[1]Beschr-Descr.'!C46</f>
        <v>0</v>
      </c>
      <c r="D109" s="84">
        <f>'[1]Beschr-Descr.'!D46</f>
        <v>0</v>
      </c>
      <c r="E109" s="207">
        <f>'[1]Beschr-Descr.'!E46</f>
        <v>0</v>
      </c>
    </row>
    <row r="110" spans="1:5" x14ac:dyDescent="0.2">
      <c r="A110" s="84" t="str">
        <f>'[1]Beschr-Descr.'!A47</f>
        <v>Indennità di malattia quota INPS 50%</v>
      </c>
      <c r="B110" s="84"/>
      <c r="C110" s="84">
        <f>'[1]Beschr-Descr.'!C47</f>
        <v>0</v>
      </c>
      <c r="D110" s="84">
        <f>'[1]Beschr-Descr.'!D47</f>
        <v>0</v>
      </c>
      <c r="E110" s="207">
        <f>'[1]Beschr-Descr.'!E47</f>
        <v>-0.5</v>
      </c>
    </row>
    <row r="111" spans="1:5" x14ac:dyDescent="0.2">
      <c r="A111" s="84" t="str">
        <f>'[1]Beschr-Descr.'!A48</f>
        <v>Indennità di malattia quota INPS 66,67%</v>
      </c>
      <c r="B111" s="84"/>
      <c r="C111" s="84">
        <f>'[1]Beschr-Descr.'!C48</f>
        <v>0</v>
      </c>
      <c r="D111" s="84">
        <f>'[1]Beschr-Descr.'!D48</f>
        <v>0</v>
      </c>
      <c r="E111" s="207">
        <f>'[1]Beschr-Descr.'!E48</f>
        <v>-0.66669999999999996</v>
      </c>
    </row>
    <row r="112" spans="1:5" x14ac:dyDescent="0.2">
      <c r="A112" s="84" t="str">
        <f>'[1]Beschr-Descr.'!A49</f>
        <v>Indennità di maternità importo totale</v>
      </c>
      <c r="B112" s="84"/>
      <c r="C112" s="84">
        <f>'[1]Beschr-Descr.'!C49</f>
        <v>0</v>
      </c>
      <c r="D112" s="84">
        <f>'[1]Beschr-Descr.'!D49</f>
        <v>0</v>
      </c>
      <c r="E112" s="207">
        <f>'[1]Beschr-Descr.'!E49</f>
        <v>0</v>
      </c>
    </row>
    <row r="113" spans="1:5" x14ac:dyDescent="0.2">
      <c r="A113" s="84" t="str">
        <f>'[1]Beschr-Descr.'!A50</f>
        <v>Indennità di maternità quota INPS 80,00%</v>
      </c>
      <c r="B113" s="84"/>
      <c r="C113" s="84">
        <f>'[1]Beschr-Descr.'!C50</f>
        <v>0</v>
      </c>
      <c r="D113" s="84">
        <f>'[1]Beschr-Descr.'!D50</f>
        <v>0</v>
      </c>
      <c r="E113" s="207">
        <f>'[1]Beschr-Descr.'!E50</f>
        <v>-0.8</v>
      </c>
    </row>
    <row r="114" spans="1:5" x14ac:dyDescent="0.2">
      <c r="A114" s="84" t="str">
        <f>'[1]Beschr-Descr.'!A51</f>
        <v>Lordizzazione indennità malattia quota INPS</v>
      </c>
      <c r="B114" s="84"/>
      <c r="C114" s="84">
        <f>'[1]Beschr-Descr.'!C51</f>
        <v>0</v>
      </c>
      <c r="D114" s="84">
        <f>'[1]Beschr-Descr.'!D51</f>
        <v>0</v>
      </c>
      <c r="E114" s="207">
        <f>'[1]Beschr-Descr.'!E51</f>
        <v>0.1012</v>
      </c>
    </row>
    <row r="115" spans="1:5" x14ac:dyDescent="0.2">
      <c r="A115" s="84">
        <f>'[1]Beschr-Descr.'!A52</f>
        <v>0</v>
      </c>
      <c r="B115" s="84"/>
      <c r="C115" s="84">
        <f>'[1]Beschr-Descr.'!C52</f>
        <v>0</v>
      </c>
      <c r="D115" s="84">
        <f>'[1]Beschr-Descr.'!D52</f>
        <v>0</v>
      </c>
      <c r="E115" s="207">
        <f>'[1]Beschr-Descr.'!E52</f>
        <v>0</v>
      </c>
    </row>
    <row r="116" spans="1:5" x14ac:dyDescent="0.2">
      <c r="A116" s="84" t="str">
        <f>'[1]Beschr-Descr.'!A53</f>
        <v>13a mensilità</v>
      </c>
      <c r="B116" s="84"/>
      <c r="C116" s="84">
        <f>'[1]Beschr-Descr.'!C53</f>
        <v>0</v>
      </c>
      <c r="D116" s="84">
        <f>'[1]Beschr-Descr.'!D53</f>
        <v>0</v>
      </c>
      <c r="E116" s="207">
        <f>'[1]Beschr-Descr.'!E53</f>
        <v>0</v>
      </c>
    </row>
    <row r="117" spans="1:5" x14ac:dyDescent="0.2">
      <c r="A117" s="84" t="str">
        <f>'[1]Beschr-Descr.'!A54</f>
        <v>14a mensilità</v>
      </c>
      <c r="B117" s="84"/>
      <c r="C117" s="84">
        <f>'[1]Beschr-Descr.'!C54</f>
        <v>0</v>
      </c>
      <c r="D117" s="84">
        <f>'[1]Beschr-Descr.'!D54</f>
        <v>0</v>
      </c>
      <c r="E117" s="207">
        <f>'[1]Beschr-Descr.'!E54</f>
        <v>0</v>
      </c>
    </row>
    <row r="118" spans="1:5" x14ac:dyDescent="0.2">
      <c r="A118" s="84" t="str">
        <f>'[1]Beschr-Descr.'!A55</f>
        <v>Mancato rispetto periodo preavviso licenziamento</v>
      </c>
      <c r="B118" s="84"/>
      <c r="C118" s="84">
        <f>'[1]Beschr-Descr.'!C55</f>
        <v>0</v>
      </c>
      <c r="D118" s="84">
        <f>'[1]Beschr-Descr.'!D55</f>
        <v>0</v>
      </c>
      <c r="E118" s="207">
        <f>'[1]Beschr-Descr.'!E55</f>
        <v>0</v>
      </c>
    </row>
    <row r="119" spans="1:5" x14ac:dyDescent="0.2">
      <c r="A119" s="84" t="str">
        <f>'[1]Beschr-Descr.'!A56</f>
        <v>Una Tantum</v>
      </c>
      <c r="B119" s="84"/>
      <c r="C119" s="84">
        <f>'[1]Beschr-Descr.'!C56</f>
        <v>0</v>
      </c>
      <c r="D119" s="84">
        <f>'[1]Beschr-Descr.'!D56</f>
        <v>0</v>
      </c>
      <c r="E119" s="207">
        <f>'[1]Beschr-Descr.'!E56</f>
        <v>0</v>
      </c>
    </row>
    <row r="120" spans="1:5" x14ac:dyDescent="0.2">
      <c r="A120" s="84" t="str">
        <f>'[1]Beschr-Descr.'!A57</f>
        <v>Premio</v>
      </c>
      <c r="B120" s="84"/>
      <c r="C120" s="84">
        <f>'[1]Beschr-Descr.'!C57</f>
        <v>0</v>
      </c>
      <c r="D120" s="84">
        <f>'[1]Beschr-Descr.'!D57</f>
        <v>0</v>
      </c>
      <c r="E120" s="207">
        <f>'[1]Beschr-Descr.'!E57</f>
        <v>0</v>
      </c>
    </row>
    <row r="121" spans="1:5" x14ac:dyDescent="0.2">
      <c r="A121" s="84">
        <f>'[1]Beschr-Descr.'!A58</f>
        <v>0</v>
      </c>
      <c r="B121" s="84"/>
      <c r="C121" s="84">
        <f>'[1]Beschr-Descr.'!C58</f>
        <v>0</v>
      </c>
      <c r="D121" s="84">
        <f>'[1]Beschr-Descr.'!D58</f>
        <v>0</v>
      </c>
      <c r="E121" s="207">
        <f>'[1]Beschr-Descr.'!E58</f>
        <v>0</v>
      </c>
    </row>
    <row r="122" spans="1:5" x14ac:dyDescent="0.2">
      <c r="A122">
        <f>'[1]Beschr-Descr.'!A63</f>
        <v>0</v>
      </c>
    </row>
    <row r="123" spans="1:5" x14ac:dyDescent="0.2">
      <c r="A123">
        <f>'[1]Beschr-Descr.'!A64</f>
        <v>0</v>
      </c>
    </row>
    <row r="124" spans="1:5" x14ac:dyDescent="0.2">
      <c r="A124">
        <f>'[1]Beschr-Descr.'!A65</f>
        <v>0</v>
      </c>
    </row>
    <row r="125" spans="1:5" x14ac:dyDescent="0.2">
      <c r="A125">
        <f>'[1]Beschr-Descr.'!A66</f>
        <v>0</v>
      </c>
    </row>
    <row r="126" spans="1:5" x14ac:dyDescent="0.2">
      <c r="A126">
        <f>'[1]Beschr-Descr.'!A67</f>
        <v>0</v>
      </c>
    </row>
    <row r="127" spans="1:5" x14ac:dyDescent="0.2">
      <c r="A127">
        <f>'[1]Beschr-Descr.'!A68</f>
        <v>0</v>
      </c>
    </row>
    <row r="128" spans="1:5" x14ac:dyDescent="0.2">
      <c r="A128">
        <f>'[1]Beschr-Descr.'!A69</f>
        <v>0</v>
      </c>
    </row>
    <row r="129" spans="1:1" x14ac:dyDescent="0.2">
      <c r="A129">
        <f>'[1]Beschr-Descr.'!A70</f>
        <v>0</v>
      </c>
    </row>
    <row r="130" spans="1:1" x14ac:dyDescent="0.2">
      <c r="A130">
        <f>'[1]Beschr-Descr.'!A71</f>
        <v>0</v>
      </c>
    </row>
    <row r="131" spans="1:1" x14ac:dyDescent="0.2">
      <c r="A131">
        <f>'[1]Beschr-Descr.'!A72</f>
        <v>0</v>
      </c>
    </row>
    <row r="132" spans="1:1" x14ac:dyDescent="0.2">
      <c r="A132">
        <f>'[1]Beschr-Descr.'!A73</f>
        <v>0</v>
      </c>
    </row>
    <row r="133" spans="1:1" x14ac:dyDescent="0.2">
      <c r="A133">
        <f>'[1]Beschr-Descr.'!A74</f>
        <v>0</v>
      </c>
    </row>
    <row r="134" spans="1:1" x14ac:dyDescent="0.2">
      <c r="A134">
        <f>'[1]Beschr-Descr.'!A75</f>
        <v>0</v>
      </c>
    </row>
    <row r="135" spans="1:1" x14ac:dyDescent="0.2">
      <c r="A135">
        <f>'[1]Beschr-Descr.'!A76</f>
        <v>0</v>
      </c>
    </row>
    <row r="136" spans="1:1" x14ac:dyDescent="0.2">
      <c r="A136">
        <f>'[1]Beschr-Descr.'!A77</f>
        <v>0</v>
      </c>
    </row>
    <row r="137" spans="1:1" x14ac:dyDescent="0.2">
      <c r="A137">
        <f>'[1]Beschr-Descr.'!A78</f>
        <v>0</v>
      </c>
    </row>
    <row r="138" spans="1:1" x14ac:dyDescent="0.2">
      <c r="A138">
        <f>'[1]Beschr-Descr.'!A79</f>
        <v>0</v>
      </c>
    </row>
    <row r="139" spans="1:1" x14ac:dyDescent="0.2">
      <c r="A139">
        <f>'[1]Beschr-Descr.'!A80</f>
        <v>0</v>
      </c>
    </row>
    <row r="140" spans="1:1" x14ac:dyDescent="0.2">
      <c r="A140">
        <f>'[1]Beschr-Descr.'!A81</f>
        <v>0</v>
      </c>
    </row>
    <row r="141" spans="1:1" x14ac:dyDescent="0.2">
      <c r="A141">
        <f>'[1]Beschr-Descr.'!A82</f>
        <v>0</v>
      </c>
    </row>
    <row r="142" spans="1:1" x14ac:dyDescent="0.2">
      <c r="A142">
        <f>'[1]Beschr-Descr.'!A83</f>
        <v>0</v>
      </c>
    </row>
    <row r="143" spans="1:1" x14ac:dyDescent="0.2">
      <c r="A143">
        <f>'[1]Beschr-Descr.'!A84</f>
        <v>0</v>
      </c>
    </row>
    <row r="144" spans="1:1" x14ac:dyDescent="0.2">
      <c r="A144">
        <f>'[1]Beschr-Descr.'!A85</f>
        <v>0</v>
      </c>
    </row>
    <row r="145" spans="1:1" x14ac:dyDescent="0.2">
      <c r="A145">
        <f>'[1]Beschr-Descr.'!A86</f>
        <v>0</v>
      </c>
    </row>
    <row r="146" spans="1:1" x14ac:dyDescent="0.2">
      <c r="A146">
        <f>'[1]Beschr-Descr.'!A87</f>
        <v>0</v>
      </c>
    </row>
    <row r="147" spans="1:1" x14ac:dyDescent="0.2">
      <c r="A147">
        <f>'[1]Beschr-Descr.'!A88</f>
        <v>0</v>
      </c>
    </row>
    <row r="148" spans="1:1" x14ac:dyDescent="0.2">
      <c r="A148">
        <f>'[1]Beschr-Descr.'!A89</f>
        <v>0</v>
      </c>
    </row>
    <row r="149" spans="1:1" x14ac:dyDescent="0.2">
      <c r="A149">
        <f>'[1]Beschr-Descr.'!A90</f>
        <v>0</v>
      </c>
    </row>
    <row r="150" spans="1:1" x14ac:dyDescent="0.2">
      <c r="A150">
        <f>'[1]Beschr-Descr.'!A91</f>
        <v>0</v>
      </c>
    </row>
    <row r="151" spans="1:1" x14ac:dyDescent="0.2">
      <c r="A151">
        <f>'[1]Beschr-Descr.'!A92</f>
        <v>0</v>
      </c>
    </row>
    <row r="152" spans="1:1" x14ac:dyDescent="0.2">
      <c r="A152">
        <f>'[1]Beschr-Descr.'!A93</f>
        <v>0</v>
      </c>
    </row>
    <row r="153" spans="1:1" x14ac:dyDescent="0.2">
      <c r="A153">
        <f>'[1]Beschr-Descr.'!A94</f>
        <v>0</v>
      </c>
    </row>
    <row r="154" spans="1:1" x14ac:dyDescent="0.2">
      <c r="A154">
        <f>'[1]Beschr-Descr.'!A95</f>
        <v>0</v>
      </c>
    </row>
    <row r="155" spans="1:1" x14ac:dyDescent="0.2">
      <c r="A155">
        <f>'[1]Beschr-Descr.'!A96</f>
        <v>0</v>
      </c>
    </row>
    <row r="156" spans="1:1" x14ac:dyDescent="0.2">
      <c r="A156">
        <f>'[1]Beschr-Descr.'!A97</f>
        <v>0</v>
      </c>
    </row>
    <row r="157" spans="1:1" x14ac:dyDescent="0.2">
      <c r="A157">
        <f>'[1]Beschr-Descr.'!A98</f>
        <v>0</v>
      </c>
    </row>
    <row r="158" spans="1:1" x14ac:dyDescent="0.2">
      <c r="A158">
        <f>'[1]Beschr-Descr.'!A99</f>
        <v>0</v>
      </c>
    </row>
    <row r="159" spans="1:1" x14ac:dyDescent="0.2">
      <c r="A159">
        <f>'[1]Beschr-Descr.'!A100</f>
        <v>0</v>
      </c>
    </row>
    <row r="160" spans="1:1" x14ac:dyDescent="0.2">
      <c r="A160">
        <f>'[1]Beschr-Descr.'!A101</f>
        <v>0</v>
      </c>
    </row>
    <row r="161" spans="1:1" x14ac:dyDescent="0.2">
      <c r="A161">
        <f>'[1]Beschr-Descr.'!A102</f>
        <v>0</v>
      </c>
    </row>
  </sheetData>
  <mergeCells count="70">
    <mergeCell ref="N60:O60"/>
    <mergeCell ref="J54:O54"/>
    <mergeCell ref="J57:O57"/>
    <mergeCell ref="N55:O55"/>
    <mergeCell ref="N56:O56"/>
    <mergeCell ref="N58:O58"/>
    <mergeCell ref="N59:O59"/>
    <mergeCell ref="E9:F9"/>
    <mergeCell ref="O10:O18"/>
    <mergeCell ref="E12:F12"/>
    <mergeCell ref="E13:F13"/>
    <mergeCell ref="E14:F14"/>
    <mergeCell ref="E15:F15"/>
    <mergeCell ref="L10:L18"/>
    <mergeCell ref="Q5:S6"/>
    <mergeCell ref="Q7:S8"/>
    <mergeCell ref="E3:F3"/>
    <mergeCell ref="E7:F7"/>
    <mergeCell ref="E5:F5"/>
    <mergeCell ref="E8:F8"/>
    <mergeCell ref="A19:C19"/>
    <mergeCell ref="E18:F18"/>
    <mergeCell ref="E16:F16"/>
    <mergeCell ref="A20:C20"/>
    <mergeCell ref="Q10:S11"/>
    <mergeCell ref="E11:F11"/>
    <mergeCell ref="A22:C22"/>
    <mergeCell ref="A21:C21"/>
    <mergeCell ref="A23:C23"/>
    <mergeCell ref="A26:C26"/>
    <mergeCell ref="U41:U43"/>
    <mergeCell ref="Q41:R42"/>
    <mergeCell ref="T41:T43"/>
    <mergeCell ref="A24:C24"/>
    <mergeCell ref="A25:C25"/>
    <mergeCell ref="S41:S43"/>
    <mergeCell ref="A27:C27"/>
    <mergeCell ref="A28:C28"/>
    <mergeCell ref="E43:F43"/>
    <mergeCell ref="E59:F59"/>
    <mergeCell ref="E57:F57"/>
    <mergeCell ref="E58:F58"/>
    <mergeCell ref="E52:F52"/>
    <mergeCell ref="E54:F54"/>
    <mergeCell ref="E55:F55"/>
    <mergeCell ref="E56:F56"/>
    <mergeCell ref="K50:K51"/>
    <mergeCell ref="M50:M51"/>
    <mergeCell ref="O50:O51"/>
    <mergeCell ref="J52:O52"/>
    <mergeCell ref="E44:F44"/>
    <mergeCell ref="E46:F46"/>
    <mergeCell ref="E45:F45"/>
    <mergeCell ref="E47:F47"/>
    <mergeCell ref="E50:F50"/>
    <mergeCell ref="E51:F51"/>
    <mergeCell ref="E48:F48"/>
    <mergeCell ref="E49:F49"/>
    <mergeCell ref="L50:L51"/>
    <mergeCell ref="U53:U54"/>
    <mergeCell ref="Q53:R53"/>
    <mergeCell ref="S53:S54"/>
    <mergeCell ref="N50:N51"/>
    <mergeCell ref="T53:T54"/>
    <mergeCell ref="J1:O1"/>
    <mergeCell ref="J8:O9"/>
    <mergeCell ref="J10:J18"/>
    <mergeCell ref="K10:K18"/>
    <mergeCell ref="M10:M18"/>
    <mergeCell ref="N10:N18"/>
  </mergeCells>
  <phoneticPr fontId="2" type="noConversion"/>
  <dataValidations count="2">
    <dataValidation type="list" allowBlank="1" showInputMessage="1" showErrorMessage="1" sqref="E19:E28" xr:uid="{00000000-0002-0000-0000-000000000000}">
      <formula1>$F$67:$F$70</formula1>
    </dataValidation>
    <dataValidation type="list" allowBlank="1" showInputMessage="1" showErrorMessage="1" sqref="A19:C28" xr:uid="{00000000-0002-0000-0000-000001000000}">
      <formula1>$A$67:$A$149</formula1>
    </dataValidation>
  </dataValidations>
  <printOptions horizontalCentered="1" verticalCentered="1"/>
  <pageMargins left="0.19685039370078741" right="0.19685039370078741" top="0.39370078740157483" bottom="0.39370078740157483" header="0" footer="0.19685039370078741"/>
  <pageSetup paperSize="9" orientation="portrait" r:id="rId1"/>
  <headerFooter alignWithMargins="0">
    <oddFooter>&amp;C&amp;"Calibri,Standard"Lohnberechnung FRINO PRO 2017 von Dr. Friedrich Nöckler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56" r:id="rId4" name="Drop Down 8">
              <controlPr defaultSize="0" print="0" autoLine="0" autoPict="0">
                <anchor moveWithCells="1">
                  <from>
                    <xdr:col>6</xdr:col>
                    <xdr:colOff>19050</xdr:colOff>
                    <xdr:row>2</xdr:row>
                    <xdr:rowOff>19050</xdr:rowOff>
                  </from>
                  <to>
                    <xdr:col>8</xdr:col>
                    <xdr:colOff>581025</xdr:colOff>
                    <xdr:row>3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10"/>
  <dimension ref="A1:Z161"/>
  <sheetViews>
    <sheetView showGridLines="0" showZeros="0" zoomScaleNormal="100" workbookViewId="0"/>
  </sheetViews>
  <sheetFormatPr baseColWidth="10" defaultColWidth="11.42578125" defaultRowHeight="12.75" x14ac:dyDescent="0.2"/>
  <cols>
    <col min="1" max="1" width="11.28515625" style="345" customWidth="1"/>
    <col min="2" max="2" width="11.7109375" style="345" customWidth="1"/>
    <col min="3" max="3" width="10.85546875" style="345" customWidth="1"/>
    <col min="4" max="4" width="11.28515625" style="345" customWidth="1"/>
    <col min="5" max="5" width="5.42578125" style="345" customWidth="1"/>
    <col min="6" max="6" width="6" style="345" customWidth="1"/>
    <col min="7" max="7" width="11.140625" style="345" customWidth="1"/>
    <col min="8" max="8" width="9.85546875" style="345" customWidth="1"/>
    <col min="9" max="9" width="9.140625" style="345" customWidth="1"/>
    <col min="10" max="10" width="2.5703125" style="277" customWidth="1"/>
    <col min="11" max="15" width="2.140625" style="345" customWidth="1"/>
    <col min="16" max="16" width="2.28515625" style="345" customWidth="1"/>
    <col min="17" max="17" width="11.28515625" style="345" customWidth="1"/>
    <col min="18" max="18" width="10.7109375" style="345" customWidth="1"/>
    <col min="19" max="19" width="9" style="345" bestFit="1" customWidth="1"/>
    <col min="20" max="20" width="11.28515625" style="345" bestFit="1" customWidth="1"/>
    <col min="21" max="21" width="8.5703125" style="345" bestFit="1" customWidth="1"/>
    <col min="22" max="24" width="10.7109375" style="345" customWidth="1"/>
    <col min="25" max="16384" width="11.42578125" style="345"/>
  </cols>
  <sheetData>
    <row r="1" spans="1:26" s="144" customFormat="1" ht="16.5" customHeight="1" x14ac:dyDescent="0.2">
      <c r="A1" s="316" t="s">
        <v>106</v>
      </c>
      <c r="B1" s="317"/>
      <c r="C1" s="317"/>
      <c r="D1" s="317"/>
      <c r="E1" s="317"/>
      <c r="F1" s="317"/>
      <c r="G1" s="317"/>
      <c r="H1" s="317"/>
      <c r="I1" s="318" t="s">
        <v>47</v>
      </c>
      <c r="J1" s="473">
        <f>[1]Firma!$A$19</f>
        <v>45536</v>
      </c>
      <c r="K1" s="473"/>
      <c r="L1" s="473"/>
      <c r="M1" s="473"/>
      <c r="N1" s="473"/>
      <c r="O1" s="474"/>
      <c r="P1" s="143"/>
      <c r="Q1" s="143"/>
      <c r="R1" s="143"/>
      <c r="S1" s="143"/>
      <c r="T1" s="143"/>
      <c r="U1" s="143"/>
      <c r="V1" s="143"/>
      <c r="W1" s="143"/>
      <c r="X1" s="143"/>
      <c r="Y1" s="143"/>
      <c r="Z1" s="143"/>
    </row>
    <row r="2" spans="1:26" s="124" customFormat="1" ht="12.75" customHeight="1" x14ac:dyDescent="0.2">
      <c r="A2" s="199" t="s">
        <v>107</v>
      </c>
      <c r="B2" s="200"/>
      <c r="C2" s="200"/>
      <c r="D2" s="201"/>
      <c r="E2" s="188" t="s">
        <v>132</v>
      </c>
      <c r="F2" s="202"/>
      <c r="G2" s="200"/>
      <c r="H2" s="200"/>
      <c r="I2" s="203"/>
      <c r="J2" s="302"/>
      <c r="K2" s="201"/>
      <c r="L2" s="201"/>
      <c r="M2" s="201"/>
      <c r="N2" s="200"/>
      <c r="O2" s="303"/>
      <c r="P2" s="121"/>
      <c r="Q2" s="121"/>
      <c r="R2" s="121"/>
      <c r="S2" s="121"/>
      <c r="T2" s="121"/>
      <c r="U2" s="121"/>
      <c r="V2" s="121"/>
      <c r="W2" s="121"/>
      <c r="X2" s="121"/>
      <c r="Y2" s="121"/>
      <c r="Z2" s="121"/>
    </row>
    <row r="3" spans="1:26" ht="16.899999999999999" customHeight="1" x14ac:dyDescent="0.2">
      <c r="A3" s="88" t="s">
        <v>100</v>
      </c>
      <c r="B3" s="83" t="str">
        <f>[1]Firma!$A$4</f>
        <v>Asues GmbH</v>
      </c>
      <c r="C3" s="341"/>
      <c r="D3" s="341"/>
      <c r="E3" s="555" t="s">
        <v>126</v>
      </c>
      <c r="F3" s="556"/>
      <c r="G3" s="341" t="str">
        <f>VLOOKUP(P3,'[1]Mit-1'!$A$5:$B$19,2,FALSE)</f>
        <v>AAAAA BBBBB</v>
      </c>
      <c r="H3" s="341"/>
      <c r="I3" s="342"/>
      <c r="J3" s="304"/>
      <c r="K3" s="343"/>
      <c r="L3" s="343"/>
      <c r="M3" s="343"/>
      <c r="N3" s="343"/>
      <c r="O3" s="344"/>
      <c r="P3" s="343">
        <v>1</v>
      </c>
      <c r="Q3" s="341"/>
      <c r="R3" s="341"/>
      <c r="S3" s="341"/>
      <c r="T3" s="341"/>
      <c r="U3" s="341"/>
      <c r="V3" s="341"/>
      <c r="W3" s="341"/>
      <c r="X3" s="341"/>
      <c r="Y3" s="341"/>
      <c r="Z3" s="341"/>
    </row>
    <row r="4" spans="1:26" ht="10.5" customHeight="1" x14ac:dyDescent="0.2">
      <c r="A4" s="87" t="s">
        <v>101</v>
      </c>
      <c r="B4" s="30" t="str">
        <f>[1]Firma!$B$4</f>
        <v>Josef-Ferrari-Straße 12; 39031 Bruneck (BZ)</v>
      </c>
      <c r="C4" s="30"/>
      <c r="D4" s="30"/>
      <c r="E4" s="187" t="s">
        <v>127</v>
      </c>
      <c r="G4" s="30" t="str">
        <f>VLOOKUP($P$3,'[1]Mit-1'!$A$5:$U$19,3,FALSE)</f>
        <v>Michael-Pacher-Straße 10, 39031 Bruneck</v>
      </c>
      <c r="I4" s="344"/>
      <c r="N4" s="341"/>
      <c r="O4" s="342"/>
      <c r="P4" s="341"/>
      <c r="V4" s="341"/>
      <c r="W4" s="341"/>
      <c r="X4" s="341"/>
      <c r="Y4" s="341"/>
      <c r="Z4" s="341"/>
    </row>
    <row r="5" spans="1:26" ht="16.899999999999999" customHeight="1" x14ac:dyDescent="0.2">
      <c r="A5" s="88" t="s">
        <v>102</v>
      </c>
      <c r="B5" s="288" t="str">
        <f>[1]Firma!$C$4</f>
        <v>IT09997110213</v>
      </c>
      <c r="C5" s="30"/>
      <c r="D5" s="30"/>
      <c r="E5" s="555" t="s">
        <v>103</v>
      </c>
      <c r="F5" s="556"/>
      <c r="G5" s="30" t="str">
        <f>VLOOKUP($P$3,'[1]Mit-1'!$A$5:$U$19,6,FALSE)</f>
        <v>AAABBB84B11B220G</v>
      </c>
      <c r="I5" s="342"/>
      <c r="K5" s="341"/>
      <c r="L5" s="341"/>
      <c r="M5" s="341"/>
      <c r="N5" s="341"/>
      <c r="O5" s="342"/>
      <c r="P5" s="341"/>
      <c r="Q5" s="604" t="s">
        <v>251</v>
      </c>
      <c r="R5" s="605"/>
      <c r="S5" s="606"/>
      <c r="T5" s="341"/>
      <c r="U5" s="341"/>
      <c r="V5" s="341"/>
      <c r="W5" s="341"/>
      <c r="X5" s="341"/>
      <c r="Y5" s="341"/>
      <c r="Z5" s="341"/>
    </row>
    <row r="6" spans="1:26" ht="16.899999999999999" customHeight="1" x14ac:dyDescent="0.2">
      <c r="A6" s="88" t="s">
        <v>103</v>
      </c>
      <c r="B6" s="288" t="str">
        <f>[1]Firma!$D$4</f>
        <v>09997110213</v>
      </c>
      <c r="C6" s="30"/>
      <c r="D6" s="30"/>
      <c r="E6" s="187" t="s">
        <v>128</v>
      </c>
      <c r="G6" s="149">
        <f>VLOOKUP($P$3,'[1]Mit-1'!$A$28:$C$42,3,FALSE)</f>
        <v>1</v>
      </c>
      <c r="H6" s="89" t="s">
        <v>9</v>
      </c>
      <c r="I6" s="54">
        <f>VLOOKUP($P$3,'[1]Mit-1'!$A$5:$U$19,7,FALSE)</f>
        <v>45597</v>
      </c>
      <c r="N6" s="341"/>
      <c r="O6" s="342"/>
      <c r="P6" s="341"/>
      <c r="Q6" s="607"/>
      <c r="R6" s="608"/>
      <c r="S6" s="609"/>
      <c r="T6" s="341"/>
      <c r="U6" s="341"/>
      <c r="V6" s="341"/>
      <c r="W6" s="341"/>
      <c r="X6" s="341"/>
      <c r="Y6" s="341"/>
      <c r="Z6" s="341"/>
    </row>
    <row r="7" spans="1:26" ht="16.899999999999999" customHeight="1" x14ac:dyDescent="0.2">
      <c r="A7" s="87" t="s">
        <v>104</v>
      </c>
      <c r="B7" s="288" t="str">
        <f>[1]Firma!$E$4</f>
        <v>1420030006</v>
      </c>
      <c r="C7" s="30"/>
      <c r="D7" s="30"/>
      <c r="E7" s="555" t="s">
        <v>129</v>
      </c>
      <c r="F7" s="556"/>
      <c r="G7" s="36">
        <f>VLOOKUP($P$3,'[1]Mit-1'!$A$5:$U$19,4,FALSE)</f>
        <v>30723</v>
      </c>
      <c r="H7" s="90" t="s">
        <v>10</v>
      </c>
      <c r="I7" s="53" t="str">
        <f>VLOOKUP($P$3,'[1]Mit-1'!$A$5:$U$19,5,FALSE)</f>
        <v>Bruneck</v>
      </c>
      <c r="N7" s="341"/>
      <c r="O7" s="342"/>
      <c r="P7" s="341"/>
      <c r="Q7" s="610" t="s">
        <v>134</v>
      </c>
      <c r="R7" s="611"/>
      <c r="S7" s="612"/>
      <c r="T7" s="341"/>
      <c r="U7" s="341"/>
      <c r="V7" s="341"/>
      <c r="W7" s="341"/>
      <c r="X7" s="341"/>
      <c r="Y7" s="341"/>
      <c r="Z7" s="341"/>
    </row>
    <row r="8" spans="1:26" ht="16.899999999999999" customHeight="1" x14ac:dyDescent="0.2">
      <c r="A8" s="87" t="s">
        <v>105</v>
      </c>
      <c r="B8" s="288" t="str">
        <f>[1]Firma!$F$4</f>
        <v>13625</v>
      </c>
      <c r="C8" s="30"/>
      <c r="D8" s="30"/>
      <c r="E8" s="555" t="s">
        <v>130</v>
      </c>
      <c r="F8" s="556"/>
      <c r="G8" s="149">
        <f>VLOOKUP($P$3,'[1]Mit-2'!$A$5:$P$19,12,FALSE)</f>
        <v>2</v>
      </c>
      <c r="H8" s="91" t="s">
        <v>231</v>
      </c>
      <c r="I8" s="150">
        <f>VLOOKUP($P$3,'[1]Mit-2'!$A$46:$AD$60,26,FALSE)</f>
        <v>0</v>
      </c>
      <c r="J8" s="475" t="s">
        <v>226</v>
      </c>
      <c r="K8" s="476"/>
      <c r="L8" s="476"/>
      <c r="M8" s="476"/>
      <c r="N8" s="476"/>
      <c r="O8" s="477"/>
      <c r="P8" s="341"/>
      <c r="Q8" s="610"/>
      <c r="R8" s="611"/>
      <c r="S8" s="612"/>
      <c r="T8" s="341"/>
      <c r="U8" s="341"/>
      <c r="V8" s="341"/>
      <c r="W8" s="341"/>
      <c r="X8" s="341"/>
      <c r="Y8" s="341"/>
      <c r="Z8" s="341"/>
    </row>
    <row r="9" spans="1:26" ht="16.899999999999999" customHeight="1" x14ac:dyDescent="0.2">
      <c r="A9" s="346"/>
      <c r="B9" s="343"/>
      <c r="C9" s="343"/>
      <c r="D9" s="343"/>
      <c r="E9" s="555" t="s">
        <v>131</v>
      </c>
      <c r="F9" s="556"/>
      <c r="G9" s="447">
        <f>VLOOKUP($P$3,'[1]Mit-2'!$A$5:$AD$19,26,FALSE)</f>
        <v>100</v>
      </c>
      <c r="H9" s="90" t="s">
        <v>232</v>
      </c>
      <c r="I9" s="429"/>
      <c r="J9" s="478"/>
      <c r="K9" s="479"/>
      <c r="L9" s="479"/>
      <c r="M9" s="479"/>
      <c r="N9" s="479"/>
      <c r="O9" s="480"/>
      <c r="P9" s="341"/>
      <c r="Q9" s="347"/>
      <c r="R9" s="432"/>
      <c r="S9" s="342"/>
      <c r="T9" s="348">
        <f>[1]Firma!$B$19</f>
        <v>30</v>
      </c>
      <c r="U9" s="341"/>
      <c r="V9" s="341"/>
      <c r="W9" s="341"/>
      <c r="X9" s="341"/>
      <c r="Y9" s="341"/>
      <c r="Z9" s="341"/>
    </row>
    <row r="10" spans="1:26" ht="10.9" customHeight="1" x14ac:dyDescent="0.2">
      <c r="A10" s="189" t="s">
        <v>108</v>
      </c>
      <c r="B10" s="349"/>
      <c r="C10" s="349"/>
      <c r="D10" s="349"/>
      <c r="E10" s="349"/>
      <c r="F10" s="349"/>
      <c r="G10" s="349"/>
      <c r="H10" s="349"/>
      <c r="I10" s="350"/>
      <c r="J10" s="481" t="s">
        <v>227</v>
      </c>
      <c r="K10" s="484" t="s">
        <v>228</v>
      </c>
      <c r="L10" s="487" t="s">
        <v>229</v>
      </c>
      <c r="M10" s="487" t="s">
        <v>264</v>
      </c>
      <c r="N10" s="487" t="s">
        <v>265</v>
      </c>
      <c r="O10" s="557" t="s">
        <v>266</v>
      </c>
      <c r="P10" s="341"/>
      <c r="Q10" s="538" t="s">
        <v>207</v>
      </c>
      <c r="R10" s="539"/>
      <c r="S10" s="540"/>
      <c r="T10" s="341"/>
      <c r="U10" s="341"/>
      <c r="V10" s="341"/>
      <c r="W10" s="341"/>
      <c r="X10" s="341"/>
      <c r="Y10" s="341"/>
      <c r="Z10" s="341"/>
    </row>
    <row r="11" spans="1:26" s="94" customFormat="1" ht="13.9" customHeight="1" x14ac:dyDescent="0.15">
      <c r="A11" s="181" t="s">
        <v>16</v>
      </c>
      <c r="B11" s="182" t="s">
        <v>11</v>
      </c>
      <c r="C11" s="182" t="s">
        <v>12</v>
      </c>
      <c r="D11" s="182" t="s">
        <v>13</v>
      </c>
      <c r="E11" s="544" t="s">
        <v>14</v>
      </c>
      <c r="F11" s="545"/>
      <c r="G11" s="182" t="s">
        <v>15</v>
      </c>
      <c r="H11" s="183" t="s">
        <v>218</v>
      </c>
      <c r="I11" s="186"/>
      <c r="J11" s="482"/>
      <c r="K11" s="485"/>
      <c r="L11" s="488"/>
      <c r="M11" s="488"/>
      <c r="N11" s="488"/>
      <c r="O11" s="558"/>
      <c r="P11" s="93"/>
      <c r="Q11" s="541"/>
      <c r="R11" s="542"/>
      <c r="S11" s="543"/>
      <c r="T11" s="93"/>
      <c r="U11" s="93"/>
      <c r="V11" s="93"/>
      <c r="W11" s="93"/>
      <c r="X11" s="93"/>
      <c r="Y11" s="93"/>
      <c r="Z11" s="93"/>
    </row>
    <row r="12" spans="1:26" x14ac:dyDescent="0.2">
      <c r="A12" s="351">
        <f>VLOOKUP($G$8,'[1]Lohntab-Tab-retr.'!$A$7:$O$15,11,FALSE)</f>
        <v>1477.83</v>
      </c>
      <c r="B12" s="352">
        <f>VLOOKUP($G$8,'[1]Lohntab-Tab-retr.'!$A$21:$O$29,11,FALSE)</f>
        <v>532.54</v>
      </c>
      <c r="C12" s="352">
        <f>I8*VLOOKUP($G$8,'[1]Lohntab-Tab-retr.'!$A$63:$O$71,11,FALSE)</f>
        <v>0</v>
      </c>
      <c r="D12" s="352">
        <f>VLOOKUP($G$8,'[1]Lohntab-Tab-retr.'!$A$35:$O$43,11,FALSE)</f>
        <v>0</v>
      </c>
      <c r="E12" s="602">
        <f>VLOOKUP($G$8,'[1]Lohntab-Tab-retr.'!$A$49:$O$57,11,FALSE)</f>
        <v>8</v>
      </c>
      <c r="F12" s="602"/>
      <c r="G12" s="352">
        <f>VLOOKUP($P$3,'[1]Mit-2'!$A$24:$P$38,12,FALSE)</f>
        <v>0</v>
      </c>
      <c r="H12" s="352">
        <f>VLOOKUP($G$8,'[1]Lohntab-Tab-retr.'!$A$77:$O$85,11,FALSE)</f>
        <v>0</v>
      </c>
      <c r="I12" s="353"/>
      <c r="J12" s="482"/>
      <c r="K12" s="485"/>
      <c r="L12" s="488"/>
      <c r="M12" s="488"/>
      <c r="N12" s="488"/>
      <c r="O12" s="558"/>
      <c r="P12" s="341"/>
      <c r="Q12" s="341"/>
      <c r="R12" s="341"/>
      <c r="S12" s="341"/>
      <c r="T12" s="341"/>
      <c r="U12" s="341"/>
      <c r="V12" s="341"/>
      <c r="W12" s="341"/>
      <c r="X12" s="341"/>
      <c r="Y12" s="341"/>
      <c r="Z12" s="341"/>
    </row>
    <row r="13" spans="1:26" s="94" customFormat="1" ht="13.9" customHeight="1" x14ac:dyDescent="0.15">
      <c r="A13" s="168" t="s">
        <v>17</v>
      </c>
      <c r="B13" s="169" t="s">
        <v>18</v>
      </c>
      <c r="C13" s="169" t="s">
        <v>19</v>
      </c>
      <c r="D13" s="169" t="s">
        <v>20</v>
      </c>
      <c r="E13" s="561" t="s">
        <v>24</v>
      </c>
      <c r="F13" s="562"/>
      <c r="G13" s="169" t="s">
        <v>23</v>
      </c>
      <c r="H13" s="170" t="s">
        <v>21</v>
      </c>
      <c r="I13" s="177" t="s">
        <v>22</v>
      </c>
      <c r="J13" s="482"/>
      <c r="K13" s="485"/>
      <c r="L13" s="488"/>
      <c r="M13" s="488"/>
      <c r="N13" s="488"/>
      <c r="O13" s="558"/>
      <c r="P13" s="93"/>
      <c r="Q13" s="93"/>
      <c r="R13" s="93"/>
      <c r="S13" s="93"/>
      <c r="T13" s="93"/>
      <c r="U13" s="93"/>
      <c r="V13" s="93"/>
      <c r="W13" s="93"/>
      <c r="X13" s="93"/>
      <c r="Y13" s="93"/>
      <c r="Z13" s="93"/>
    </row>
    <row r="14" spans="1:26" x14ac:dyDescent="0.2">
      <c r="A14" s="354">
        <f>[1]Tab!G140</f>
        <v>168</v>
      </c>
      <c r="B14" s="355">
        <f>[1]Tab!G141</f>
        <v>26</v>
      </c>
      <c r="C14" s="313">
        <f>ROUND(I14/A14,5)</f>
        <v>12.014110000000001</v>
      </c>
      <c r="D14" s="313">
        <f>ROUND(I14/B14,5)</f>
        <v>77.629620000000003</v>
      </c>
      <c r="E14" s="603">
        <f>COUNT(K19:K49)</f>
        <v>0</v>
      </c>
      <c r="F14" s="603"/>
      <c r="G14" s="355">
        <f>K50</f>
        <v>0</v>
      </c>
      <c r="H14" s="355">
        <v>26</v>
      </c>
      <c r="I14" s="180">
        <f>SUM(A12:I12)</f>
        <v>2018.37</v>
      </c>
      <c r="J14" s="482"/>
      <c r="K14" s="485"/>
      <c r="L14" s="488"/>
      <c r="M14" s="488"/>
      <c r="N14" s="488"/>
      <c r="O14" s="558"/>
      <c r="P14" s="356"/>
      <c r="Q14" s="356"/>
      <c r="R14" s="356"/>
      <c r="S14" s="356"/>
      <c r="T14" s="356"/>
      <c r="U14" s="356"/>
      <c r="V14" s="356"/>
      <c r="W14" s="356"/>
      <c r="X14" s="356"/>
      <c r="Y14" s="356"/>
      <c r="Z14" s="356"/>
    </row>
    <row r="15" spans="1:26" s="94" customFormat="1" ht="13.9" customHeight="1" x14ac:dyDescent="0.15">
      <c r="A15" s="174" t="s">
        <v>26</v>
      </c>
      <c r="B15" s="175" t="s">
        <v>27</v>
      </c>
      <c r="C15" s="175" t="s">
        <v>25</v>
      </c>
      <c r="D15" s="175" t="s">
        <v>259</v>
      </c>
      <c r="E15" s="564" t="s">
        <v>260</v>
      </c>
      <c r="F15" s="565"/>
      <c r="G15" s="175" t="s">
        <v>261</v>
      </c>
      <c r="H15" s="146"/>
      <c r="I15" s="176"/>
      <c r="J15" s="482"/>
      <c r="K15" s="485"/>
      <c r="L15" s="488"/>
      <c r="M15" s="488"/>
      <c r="N15" s="488"/>
      <c r="O15" s="558"/>
      <c r="P15" s="93"/>
      <c r="Q15" s="93"/>
      <c r="R15" s="93"/>
      <c r="S15" s="93"/>
      <c r="T15" s="93"/>
      <c r="U15" s="93"/>
      <c r="V15" s="93"/>
      <c r="W15" s="93"/>
      <c r="X15" s="93"/>
      <c r="Y15" s="93"/>
      <c r="Z15" s="93"/>
    </row>
    <row r="16" spans="1:26" x14ac:dyDescent="0.2">
      <c r="A16" s="440">
        <f>'08'!A16+(VLOOKUP($P$3,'[1]Mit-2'!$A$90:$P$104,12,FALSE))*G9%</f>
        <v>0</v>
      </c>
      <c r="B16" s="438">
        <f>M50</f>
        <v>0</v>
      </c>
      <c r="C16" s="438">
        <f>A16-B16</f>
        <v>0</v>
      </c>
      <c r="D16" s="438">
        <f>'08'!D16+(VLOOKUP($P$3,'[1]Mit-2'!$A$90:$AD$104,26,FALSE))*G9%</f>
        <v>0</v>
      </c>
      <c r="E16" s="537">
        <f>N50</f>
        <v>0</v>
      </c>
      <c r="F16" s="537"/>
      <c r="G16" s="438">
        <f>D16-E16</f>
        <v>0</v>
      </c>
      <c r="H16" s="147"/>
      <c r="I16" s="185"/>
      <c r="J16" s="482"/>
      <c r="K16" s="485"/>
      <c r="L16" s="488"/>
      <c r="M16" s="488"/>
      <c r="N16" s="488"/>
      <c r="O16" s="558"/>
      <c r="P16" s="356"/>
      <c r="Q16" s="356"/>
      <c r="R16" s="356"/>
      <c r="S16" s="356"/>
      <c r="T16" s="356"/>
      <c r="U16" s="356"/>
      <c r="V16" s="356"/>
      <c r="W16" s="356"/>
      <c r="X16" s="356"/>
      <c r="Y16" s="356"/>
      <c r="Z16" s="356"/>
    </row>
    <row r="17" spans="1:26" ht="3.75" customHeight="1" x14ac:dyDescent="0.2">
      <c r="A17" s="357"/>
      <c r="B17" s="358"/>
      <c r="C17" s="358"/>
      <c r="D17" s="358"/>
      <c r="E17" s="358"/>
      <c r="F17" s="358"/>
      <c r="G17" s="358"/>
      <c r="H17" s="358"/>
      <c r="I17" s="359"/>
      <c r="J17" s="482"/>
      <c r="K17" s="485"/>
      <c r="L17" s="488"/>
      <c r="M17" s="488"/>
      <c r="N17" s="488"/>
      <c r="O17" s="558"/>
      <c r="P17" s="341"/>
      <c r="Q17" s="341"/>
      <c r="R17" s="341"/>
      <c r="S17" s="341"/>
      <c r="T17" s="341"/>
      <c r="U17" s="341"/>
      <c r="V17" s="341"/>
      <c r="W17" s="341"/>
      <c r="X17" s="341"/>
      <c r="Y17" s="341"/>
      <c r="Z17" s="341"/>
    </row>
    <row r="18" spans="1:26" s="92" customFormat="1" ht="16.899999999999999" customHeight="1" x14ac:dyDescent="0.15">
      <c r="A18" s="162" t="s">
        <v>28</v>
      </c>
      <c r="B18" s="163"/>
      <c r="C18" s="163"/>
      <c r="D18" s="96"/>
      <c r="E18" s="535" t="s">
        <v>29</v>
      </c>
      <c r="F18" s="536"/>
      <c r="G18" s="99" t="s">
        <v>31</v>
      </c>
      <c r="H18" s="86" t="s">
        <v>30</v>
      </c>
      <c r="I18" s="100" t="s">
        <v>233</v>
      </c>
      <c r="J18" s="483"/>
      <c r="K18" s="486"/>
      <c r="L18" s="489"/>
      <c r="M18" s="489"/>
      <c r="N18" s="489"/>
      <c r="O18" s="559"/>
      <c r="P18" s="97"/>
      <c r="V18" s="98"/>
      <c r="W18" s="98"/>
      <c r="X18" s="98"/>
      <c r="Y18" s="97"/>
      <c r="Z18" s="97"/>
    </row>
    <row r="19" spans="1:26" ht="12" customHeight="1" x14ac:dyDescent="0.2">
      <c r="A19" s="533"/>
      <c r="B19" s="534"/>
      <c r="C19" s="534"/>
      <c r="D19" s="417"/>
      <c r="E19" s="418"/>
      <c r="F19" s="419"/>
      <c r="G19" s="360">
        <f>VLOOKUP(A19,A66:F121,5,FALSE)</f>
        <v>0</v>
      </c>
      <c r="H19" s="325">
        <f>IF(E19="",0,IF(A19="",0,IF(E19="Std-ore",ROUND(C$14+C$14*G19,5),IF(E19="Tage-gg.",ROUND(D$14+D$14*G19,5),IF(E19="Monat-mese",ROUND($I$14+$I$14*G19,2))))))</f>
        <v>0</v>
      </c>
      <c r="I19" s="151">
        <f>ROUND(H19*F19,2)</f>
        <v>0</v>
      </c>
      <c r="J19" s="305">
        <v>1</v>
      </c>
      <c r="K19" s="409"/>
      <c r="L19" s="410"/>
      <c r="M19" s="410"/>
      <c r="N19" s="410"/>
      <c r="O19" s="411"/>
      <c r="P19" s="6"/>
      <c r="V19" s="341"/>
      <c r="W19" s="341"/>
      <c r="X19" s="341"/>
      <c r="Y19" s="7"/>
      <c r="Z19" s="6"/>
    </row>
    <row r="20" spans="1:26" ht="12" customHeight="1" x14ac:dyDescent="0.2">
      <c r="A20" s="625"/>
      <c r="B20" s="626"/>
      <c r="C20" s="626"/>
      <c r="D20" s="427"/>
      <c r="E20" s="428"/>
      <c r="F20" s="426"/>
      <c r="G20" s="360">
        <f>VLOOKUP(A20,A67:F122,5,FALSE)</f>
        <v>0</v>
      </c>
      <c r="H20" s="325">
        <f t="shared" ref="H20:H28" si="0">IF(E20="",0,IF(A20="",0,IF(E20="Std-ore",ROUND(C$14+C$14*G20,5),IF(E20="Tage-gg.",ROUND(D$14+D$14*G20,5),IF(E20="Monat-mese",ROUND($I$14+$I$14*G20,2))))))</f>
        <v>0</v>
      </c>
      <c r="I20" s="152">
        <f t="shared" ref="I20:I28" si="1">IF(A20="Abzug Bruttoberechnung Krankengeld INPS",ROUND(I19*G20,2),ROUND(H20*F20,2))</f>
        <v>0</v>
      </c>
      <c r="J20" s="306">
        <v>2</v>
      </c>
      <c r="K20" s="412"/>
      <c r="L20" s="413"/>
      <c r="M20" s="413"/>
      <c r="N20" s="413"/>
      <c r="O20" s="414"/>
      <c r="P20" s="6"/>
      <c r="V20" s="28"/>
      <c r="W20" s="6"/>
    </row>
    <row r="21" spans="1:26" ht="12" customHeight="1" x14ac:dyDescent="0.2">
      <c r="A21" s="625"/>
      <c r="B21" s="626"/>
      <c r="C21" s="626"/>
      <c r="D21" s="427"/>
      <c r="E21" s="428"/>
      <c r="F21" s="426"/>
      <c r="G21" s="360">
        <f>VLOOKUP(A21,A66:F121,5,FALSE)</f>
        <v>0</v>
      </c>
      <c r="H21" s="325">
        <f t="shared" si="0"/>
        <v>0</v>
      </c>
      <c r="I21" s="152">
        <f t="shared" si="1"/>
        <v>0</v>
      </c>
      <c r="J21" s="306">
        <v>3</v>
      </c>
      <c r="K21" s="412"/>
      <c r="L21" s="413"/>
      <c r="M21" s="413"/>
      <c r="N21" s="413"/>
      <c r="O21" s="414"/>
      <c r="P21" s="6"/>
      <c r="V21" s="28"/>
      <c r="W21" s="6"/>
    </row>
    <row r="22" spans="1:26" ht="12" customHeight="1" x14ac:dyDescent="0.2">
      <c r="A22" s="625"/>
      <c r="B22" s="626"/>
      <c r="C22" s="626"/>
      <c r="D22" s="427"/>
      <c r="E22" s="428"/>
      <c r="F22" s="426"/>
      <c r="G22" s="360">
        <f>VLOOKUP(A22,A67:F122,5,FALSE)</f>
        <v>0</v>
      </c>
      <c r="H22" s="325">
        <f>IF(E22="",0,IF(A22="",0,IF(E22="Std-ore",ROUND(C$14+C$14*G22,5),IF(E22="Tage-gg.",ROUND(D$14+D$14*G22,5),IF(E22="Monat-mese",ROUND($I$14+$I$14*G22,2))))))</f>
        <v>0</v>
      </c>
      <c r="I22" s="152">
        <f t="shared" si="1"/>
        <v>0</v>
      </c>
      <c r="J22" s="306">
        <v>4</v>
      </c>
      <c r="K22" s="412"/>
      <c r="L22" s="413"/>
      <c r="M22" s="413"/>
      <c r="N22" s="413"/>
      <c r="O22" s="414"/>
      <c r="P22" s="6"/>
      <c r="V22" s="28"/>
      <c r="W22" s="6"/>
    </row>
    <row r="23" spans="1:26" ht="12" customHeight="1" x14ac:dyDescent="0.2">
      <c r="A23" s="625"/>
      <c r="B23" s="626"/>
      <c r="C23" s="626"/>
      <c r="D23" s="427"/>
      <c r="E23" s="428"/>
      <c r="F23" s="426"/>
      <c r="G23" s="360">
        <f t="shared" ref="G23:G28" si="2">VLOOKUP(A23,A67:F122,5,FALSE)</f>
        <v>0</v>
      </c>
      <c r="H23" s="325">
        <f>IF(E23="",0,IF(A23="",0,IF(E23="Std-ore",ROUND(C$14+C$14*G23,5),IF(E23="Tage-gg.",ROUND(D$14+D$14*G23,5),IF(E23="Monat-mese",ROUND($I$14+$I$14*G23,2))))))</f>
        <v>0</v>
      </c>
      <c r="I23" s="152">
        <f t="shared" si="1"/>
        <v>0</v>
      </c>
      <c r="J23" s="306">
        <v>5</v>
      </c>
      <c r="K23" s="412"/>
      <c r="L23" s="413"/>
      <c r="M23" s="413"/>
      <c r="N23" s="413"/>
      <c r="O23" s="414"/>
      <c r="P23" s="6"/>
      <c r="V23" s="28"/>
      <c r="W23" s="6"/>
    </row>
    <row r="24" spans="1:26" ht="12" customHeight="1" x14ac:dyDescent="0.2">
      <c r="A24" s="625"/>
      <c r="B24" s="626"/>
      <c r="C24" s="626"/>
      <c r="D24" s="427"/>
      <c r="E24" s="428"/>
      <c r="F24" s="426"/>
      <c r="G24" s="360">
        <f t="shared" si="2"/>
        <v>0</v>
      </c>
      <c r="H24" s="325">
        <f t="shared" si="0"/>
        <v>0</v>
      </c>
      <c r="I24" s="152">
        <f t="shared" si="1"/>
        <v>0</v>
      </c>
      <c r="J24" s="306">
        <v>6</v>
      </c>
      <c r="K24" s="412"/>
      <c r="L24" s="413"/>
      <c r="M24" s="413"/>
      <c r="N24" s="413"/>
      <c r="O24" s="414"/>
      <c r="P24" s="6"/>
      <c r="V24" s="28"/>
      <c r="W24" s="6"/>
    </row>
    <row r="25" spans="1:26" ht="12" customHeight="1" x14ac:dyDescent="0.2">
      <c r="A25" s="625"/>
      <c r="B25" s="626"/>
      <c r="C25" s="626"/>
      <c r="D25" s="427"/>
      <c r="E25" s="428"/>
      <c r="F25" s="426"/>
      <c r="G25" s="360">
        <f t="shared" si="2"/>
        <v>0</v>
      </c>
      <c r="H25" s="325">
        <f t="shared" si="0"/>
        <v>0</v>
      </c>
      <c r="I25" s="152">
        <f t="shared" si="1"/>
        <v>0</v>
      </c>
      <c r="J25" s="306">
        <v>7</v>
      </c>
      <c r="K25" s="412"/>
      <c r="L25" s="413"/>
      <c r="M25" s="413"/>
      <c r="N25" s="413"/>
      <c r="O25" s="414"/>
      <c r="P25" s="6"/>
      <c r="W25" s="6"/>
    </row>
    <row r="26" spans="1:26" ht="12" customHeight="1" x14ac:dyDescent="0.2">
      <c r="A26" s="613"/>
      <c r="B26" s="614"/>
      <c r="C26" s="614"/>
      <c r="D26" s="425"/>
      <c r="E26" s="421"/>
      <c r="F26" s="426"/>
      <c r="G26" s="360">
        <f t="shared" si="2"/>
        <v>0</v>
      </c>
      <c r="H26" s="325">
        <f t="shared" si="0"/>
        <v>0</v>
      </c>
      <c r="I26" s="152">
        <f t="shared" si="1"/>
        <v>0</v>
      </c>
      <c r="J26" s="306">
        <v>8</v>
      </c>
      <c r="K26" s="412"/>
      <c r="L26" s="413"/>
      <c r="M26" s="413"/>
      <c r="N26" s="413"/>
      <c r="O26" s="414"/>
      <c r="P26" s="6"/>
      <c r="W26" s="6"/>
    </row>
    <row r="27" spans="1:26" ht="12" customHeight="1" x14ac:dyDescent="0.2">
      <c r="A27" s="613"/>
      <c r="B27" s="614"/>
      <c r="C27" s="614"/>
      <c r="D27" s="425"/>
      <c r="E27" s="421"/>
      <c r="F27" s="426"/>
      <c r="G27" s="360">
        <f t="shared" si="2"/>
        <v>0</v>
      </c>
      <c r="H27" s="325">
        <f t="shared" si="0"/>
        <v>0</v>
      </c>
      <c r="I27" s="152">
        <f t="shared" si="1"/>
        <v>0</v>
      </c>
      <c r="J27" s="306">
        <v>9</v>
      </c>
      <c r="K27" s="412"/>
      <c r="L27" s="413"/>
      <c r="M27" s="413"/>
      <c r="N27" s="413"/>
      <c r="O27" s="414"/>
      <c r="P27" s="6"/>
    </row>
    <row r="28" spans="1:26" ht="12" customHeight="1" x14ac:dyDescent="0.2">
      <c r="A28" s="613"/>
      <c r="B28" s="614"/>
      <c r="C28" s="614"/>
      <c r="D28" s="425"/>
      <c r="E28" s="421"/>
      <c r="F28" s="426"/>
      <c r="G28" s="360">
        <f t="shared" si="2"/>
        <v>0</v>
      </c>
      <c r="H28" s="325">
        <f t="shared" si="0"/>
        <v>0</v>
      </c>
      <c r="I28" s="152">
        <f t="shared" si="1"/>
        <v>0</v>
      </c>
      <c r="J28" s="306">
        <v>10</v>
      </c>
      <c r="K28" s="412"/>
      <c r="L28" s="413"/>
      <c r="M28" s="413"/>
      <c r="N28" s="413"/>
      <c r="O28" s="414"/>
      <c r="P28" s="6"/>
    </row>
    <row r="29" spans="1:26" ht="12" customHeight="1" x14ac:dyDescent="0.2">
      <c r="A29" s="119" t="s">
        <v>109</v>
      </c>
      <c r="B29" s="57"/>
      <c r="C29" s="57"/>
      <c r="D29" s="57"/>
      <c r="E29" s="57"/>
      <c r="F29" s="58"/>
      <c r="G29" s="57"/>
      <c r="H29" s="57"/>
      <c r="I29" s="154">
        <f>SUM(I19:I28)</f>
        <v>0</v>
      </c>
      <c r="J29" s="306">
        <v>11</v>
      </c>
      <c r="K29" s="412"/>
      <c r="L29" s="413"/>
      <c r="M29" s="413"/>
      <c r="N29" s="415"/>
      <c r="O29" s="416"/>
      <c r="P29" s="9"/>
    </row>
    <row r="30" spans="1:26" ht="12" customHeight="1" x14ac:dyDescent="0.2">
      <c r="A30" s="211" t="s">
        <v>236</v>
      </c>
      <c r="B30" s="361"/>
      <c r="C30" s="362"/>
      <c r="D30" s="362"/>
      <c r="E30" s="362"/>
      <c r="F30" s="102" t="s">
        <v>55</v>
      </c>
      <c r="G30" s="326">
        <f>ROUND(I29,0)</f>
        <v>0</v>
      </c>
      <c r="H30" s="314">
        <f>'[1]Mit-1'!$C$21</f>
        <v>9.1899999999999996E-2</v>
      </c>
      <c r="I30" s="151">
        <f>-ROUND(G30*H30,2)</f>
        <v>0</v>
      </c>
      <c r="J30" s="306">
        <v>12</v>
      </c>
      <c r="K30" s="412"/>
      <c r="L30" s="413"/>
      <c r="M30" s="413"/>
      <c r="N30" s="413"/>
      <c r="O30" s="414"/>
      <c r="P30" s="341"/>
      <c r="Z30" s="341"/>
    </row>
    <row r="31" spans="1:26" ht="12" customHeight="1" x14ac:dyDescent="0.2">
      <c r="A31" s="104" t="s">
        <v>237</v>
      </c>
      <c r="B31" s="363"/>
      <c r="C31" s="364"/>
      <c r="D31" s="364"/>
      <c r="E31" s="364"/>
      <c r="F31" s="103" t="s">
        <v>55</v>
      </c>
      <c r="G31" s="327">
        <f>ROUND(I29,2)</f>
        <v>0</v>
      </c>
      <c r="H31" s="315">
        <f>VLOOKUP($P$3,'[1]Mit-1'!$A$5:$U$19,19,FALSE)</f>
        <v>1.23E-2</v>
      </c>
      <c r="I31" s="152">
        <f>-ROUND(G31*H31,2)</f>
        <v>0</v>
      </c>
      <c r="J31" s="306">
        <v>13</v>
      </c>
      <c r="K31" s="412"/>
      <c r="L31" s="413"/>
      <c r="M31" s="413"/>
      <c r="N31" s="413"/>
      <c r="O31" s="414"/>
      <c r="P31" s="341"/>
      <c r="Z31" s="341"/>
    </row>
    <row r="32" spans="1:26" ht="12" customHeight="1" x14ac:dyDescent="0.2">
      <c r="A32" s="104" t="s">
        <v>234</v>
      </c>
      <c r="B32" s="363"/>
      <c r="C32" s="364"/>
      <c r="D32" s="364"/>
      <c r="E32" s="364"/>
      <c r="F32" s="103" t="s">
        <v>55</v>
      </c>
      <c r="G32" s="327">
        <f>IF(I29=0,0,IF(R9&gt;0,SUM(A12:B12)/T9*R9,SUM(A12:B12)))</f>
        <v>0</v>
      </c>
      <c r="H32" s="315">
        <f>'[1]Mit-1'!$I$21</f>
        <v>1E-3</v>
      </c>
      <c r="I32" s="152">
        <f>-ROUND(G32*H32,2)</f>
        <v>0</v>
      </c>
      <c r="J32" s="306">
        <v>14</v>
      </c>
      <c r="K32" s="412"/>
      <c r="L32" s="413"/>
      <c r="M32" s="413"/>
      <c r="N32" s="413"/>
      <c r="O32" s="414"/>
      <c r="P32" s="341"/>
      <c r="Z32" s="341"/>
    </row>
    <row r="33" spans="1:26" ht="12" customHeight="1" x14ac:dyDescent="0.2">
      <c r="A33" s="104" t="s">
        <v>235</v>
      </c>
      <c r="B33" s="363"/>
      <c r="C33" s="364"/>
      <c r="D33" s="364"/>
      <c r="E33" s="364"/>
      <c r="F33" s="103" t="s">
        <v>55</v>
      </c>
      <c r="G33" s="327">
        <f>G30</f>
        <v>0</v>
      </c>
      <c r="H33" s="315">
        <f>'[1]Mit-1'!$I$23</f>
        <v>4.0000000000000001E-3</v>
      </c>
      <c r="I33" s="152">
        <f>-ROUND(G33*H33,2)</f>
        <v>0</v>
      </c>
      <c r="J33" s="306">
        <v>15</v>
      </c>
      <c r="K33" s="412"/>
      <c r="L33" s="413"/>
      <c r="M33" s="413"/>
      <c r="N33" s="413"/>
      <c r="O33" s="414"/>
      <c r="P33" s="341"/>
      <c r="Z33" s="341"/>
    </row>
    <row r="34" spans="1:26" ht="12" customHeight="1" x14ac:dyDescent="0.2">
      <c r="A34" s="104" t="s">
        <v>258</v>
      </c>
      <c r="B34" s="363"/>
      <c r="C34" s="364"/>
      <c r="D34" s="364"/>
      <c r="E34" s="364"/>
      <c r="F34" s="394"/>
      <c r="G34" s="365"/>
      <c r="H34" s="396"/>
      <c r="I34" s="152">
        <f>-IF(I29=0,0,'[1]Mit-1'!$I$25)</f>
        <v>0</v>
      </c>
      <c r="J34" s="306">
        <v>16</v>
      </c>
      <c r="K34" s="412"/>
      <c r="L34" s="413"/>
      <c r="M34" s="413"/>
      <c r="N34" s="413"/>
      <c r="O34" s="414"/>
      <c r="P34" s="341"/>
      <c r="Z34" s="341"/>
    </row>
    <row r="35" spans="1:26" ht="12" customHeight="1" x14ac:dyDescent="0.2">
      <c r="A35" s="104" t="s">
        <v>110</v>
      </c>
      <c r="B35" s="10"/>
      <c r="C35" s="10"/>
      <c r="D35" s="10"/>
      <c r="E35" s="10"/>
      <c r="F35" s="10"/>
      <c r="G35" s="11"/>
      <c r="H35" s="63"/>
      <c r="I35" s="152">
        <f ca="1">-SUMIF($A$19:$C$28,"Krankheit INPS-Anteil*",$I$19:$I$28)</f>
        <v>0</v>
      </c>
      <c r="J35" s="306">
        <v>17</v>
      </c>
      <c r="K35" s="412"/>
      <c r="L35" s="413"/>
      <c r="M35" s="413"/>
      <c r="N35" s="413"/>
      <c r="O35" s="414"/>
      <c r="P35" s="6"/>
      <c r="Y35" s="6"/>
      <c r="Z35" s="6"/>
    </row>
    <row r="36" spans="1:26" ht="12" customHeight="1" x14ac:dyDescent="0.2">
      <c r="A36" s="104" t="s">
        <v>111</v>
      </c>
      <c r="B36" s="10"/>
      <c r="C36" s="10"/>
      <c r="D36" s="10"/>
      <c r="E36" s="10"/>
      <c r="F36" s="10"/>
      <c r="G36" s="11"/>
      <c r="H36" s="63"/>
      <c r="I36" s="152">
        <f ca="1">-SUMIF($A$19:$C$28,"Mutterschaft INPS-Anteil*",$I$19:$I$28)</f>
        <v>0</v>
      </c>
      <c r="J36" s="306">
        <v>18</v>
      </c>
      <c r="K36" s="412"/>
      <c r="L36" s="413"/>
      <c r="M36" s="413"/>
      <c r="N36" s="413"/>
      <c r="O36" s="414"/>
      <c r="P36" s="6"/>
      <c r="Y36" s="6"/>
      <c r="Z36" s="6"/>
    </row>
    <row r="37" spans="1:26" ht="12" customHeight="1" x14ac:dyDescent="0.2">
      <c r="A37" s="105" t="s">
        <v>112</v>
      </c>
      <c r="B37" s="10"/>
      <c r="C37" s="10"/>
      <c r="D37" s="10"/>
      <c r="E37" s="10"/>
      <c r="F37" s="10"/>
      <c r="G37" s="11"/>
      <c r="H37" s="365">
        <f>ROUND(IF(I29=0,0,VLOOKUP($P$3,'[1]Mit-1'!$A$5:$AD$19,12,FALSE)),2)</f>
        <v>0</v>
      </c>
      <c r="I37" s="439"/>
      <c r="J37" s="306">
        <v>19</v>
      </c>
      <c r="K37" s="412"/>
      <c r="L37" s="413"/>
      <c r="M37" s="413"/>
      <c r="N37" s="413"/>
      <c r="O37" s="414"/>
      <c r="P37" s="6"/>
      <c r="Y37" s="6"/>
      <c r="Z37" s="6"/>
    </row>
    <row r="38" spans="1:26" ht="12" customHeight="1" x14ac:dyDescent="0.2">
      <c r="A38" s="107" t="s">
        <v>113</v>
      </c>
      <c r="B38" s="10"/>
      <c r="C38" s="10"/>
      <c r="D38" s="10"/>
      <c r="E38" s="10"/>
      <c r="F38" s="10"/>
      <c r="G38" s="11"/>
      <c r="H38" s="322">
        <f ca="1">IF(SUM(I29:I37)-H37&lt;0,0,SUM(I29:I36)-H37)</f>
        <v>0</v>
      </c>
      <c r="I38" s="160"/>
      <c r="J38" s="306">
        <v>20</v>
      </c>
      <c r="K38" s="412"/>
      <c r="L38" s="413"/>
      <c r="M38" s="413"/>
      <c r="N38" s="413"/>
      <c r="O38" s="414"/>
      <c r="P38" s="6"/>
      <c r="Y38" s="6"/>
      <c r="Z38" s="6"/>
    </row>
    <row r="39" spans="1:26" ht="12" customHeight="1" x14ac:dyDescent="0.2">
      <c r="A39" s="211" t="s">
        <v>143</v>
      </c>
      <c r="B39" s="14"/>
      <c r="C39" s="14"/>
      <c r="D39" s="14"/>
      <c r="E39" s="14"/>
      <c r="F39" s="14"/>
      <c r="G39" s="14"/>
      <c r="H39" s="323">
        <f ca="1">-U50</f>
        <v>0</v>
      </c>
      <c r="I39" s="159"/>
      <c r="J39" s="306">
        <v>21</v>
      </c>
      <c r="K39" s="412"/>
      <c r="L39" s="413"/>
      <c r="M39" s="413"/>
      <c r="N39" s="413"/>
      <c r="O39" s="414"/>
      <c r="P39" s="6"/>
      <c r="R39" s="216"/>
      <c r="V39" s="6"/>
      <c r="W39" s="6"/>
      <c r="X39" s="6"/>
      <c r="Y39" s="6"/>
      <c r="Z39" s="6"/>
    </row>
    <row r="40" spans="1:26" ht="12" customHeight="1" x14ac:dyDescent="0.2">
      <c r="A40" s="104" t="s">
        <v>144</v>
      </c>
      <c r="B40" s="10"/>
      <c r="C40" s="10"/>
      <c r="D40" s="10"/>
      <c r="E40" s="10"/>
      <c r="F40" s="10"/>
      <c r="G40" s="10"/>
      <c r="H40" s="324">
        <f>ROUND(IF(I29=0,0,VLOOKUP($P$3,'[1]Mit-1'!$A$5:$AB$19,13,FALSE)/[1]Firma!$B$24*IF(R9=0,T9,R9)),2)</f>
        <v>0</v>
      </c>
      <c r="I40" s="156"/>
      <c r="J40" s="306">
        <v>22</v>
      </c>
      <c r="K40" s="412"/>
      <c r="L40" s="413"/>
      <c r="M40" s="413"/>
      <c r="N40" s="413"/>
      <c r="O40" s="414"/>
      <c r="P40" s="6"/>
      <c r="Q40" s="220"/>
      <c r="R40" s="216"/>
      <c r="S40" s="217"/>
      <c r="T40" s="218"/>
      <c r="U40" s="219"/>
      <c r="V40" s="6"/>
      <c r="W40" s="6"/>
      <c r="X40" s="6"/>
      <c r="Y40" s="6"/>
      <c r="Z40" s="6"/>
    </row>
    <row r="41" spans="1:26" ht="12" customHeight="1" x14ac:dyDescent="0.2">
      <c r="A41" s="110" t="s">
        <v>145</v>
      </c>
      <c r="B41" s="221"/>
      <c r="C41" s="221"/>
      <c r="D41" s="221"/>
      <c r="E41" s="221"/>
      <c r="F41" s="221"/>
      <c r="G41" s="221"/>
      <c r="H41" s="324">
        <f>ROUND(IF(I29=0,0,VLOOKUP($P$3,'[1]Mit-2'!$A$46:$P$60,3,FALSE)/12),2)</f>
        <v>0</v>
      </c>
      <c r="I41" s="286"/>
      <c r="J41" s="306">
        <v>23</v>
      </c>
      <c r="K41" s="412"/>
      <c r="L41" s="413"/>
      <c r="M41" s="413"/>
      <c r="N41" s="413"/>
      <c r="O41" s="414"/>
      <c r="P41" s="6"/>
      <c r="Q41" s="492" t="s">
        <v>4</v>
      </c>
      <c r="R41" s="493"/>
      <c r="S41" s="494" t="s">
        <v>7</v>
      </c>
      <c r="T41" s="498" t="s">
        <v>5</v>
      </c>
      <c r="U41" s="490" t="s">
        <v>2</v>
      </c>
      <c r="V41" s="6"/>
      <c r="W41" s="6"/>
      <c r="X41" s="6"/>
      <c r="Y41" s="6"/>
      <c r="Z41" s="6"/>
    </row>
    <row r="42" spans="1:26" ht="12" customHeight="1" x14ac:dyDescent="0.2">
      <c r="A42" s="108" t="s">
        <v>146</v>
      </c>
      <c r="B42" s="64"/>
      <c r="C42" s="64"/>
      <c r="D42" s="64"/>
      <c r="E42" s="64"/>
      <c r="F42" s="64"/>
      <c r="G42" s="64"/>
      <c r="H42" s="65"/>
      <c r="I42" s="157">
        <f ca="1">IF(SUM(H39:H41)&gt;=0,0,SUM(H39:H41))</f>
        <v>0</v>
      </c>
      <c r="J42" s="306">
        <v>24</v>
      </c>
      <c r="K42" s="412"/>
      <c r="L42" s="413"/>
      <c r="M42" s="413"/>
      <c r="N42" s="413"/>
      <c r="O42" s="414"/>
      <c r="P42" s="6"/>
      <c r="Q42" s="529"/>
      <c r="R42" s="530"/>
      <c r="S42" s="532"/>
      <c r="T42" s="531"/>
      <c r="U42" s="528"/>
      <c r="V42" s="6"/>
      <c r="W42" s="6"/>
      <c r="X42" s="6"/>
      <c r="Y42" s="6"/>
      <c r="Z42" s="6"/>
    </row>
    <row r="43" spans="1:26" ht="12" customHeight="1" x14ac:dyDescent="0.2">
      <c r="A43" s="106" t="s">
        <v>141</v>
      </c>
      <c r="B43" s="366"/>
      <c r="C43" s="10"/>
      <c r="D43" s="213"/>
      <c r="E43" s="574"/>
      <c r="F43" s="575"/>
      <c r="G43" s="214"/>
      <c r="H43" s="215" t="s">
        <v>33</v>
      </c>
      <c r="I43" s="151"/>
      <c r="J43" s="306">
        <v>25</v>
      </c>
      <c r="K43" s="412"/>
      <c r="L43" s="413"/>
      <c r="M43" s="413"/>
      <c r="N43" s="413"/>
      <c r="O43" s="414"/>
      <c r="P43" s="6"/>
      <c r="Q43" s="81" t="s">
        <v>0</v>
      </c>
      <c r="R43" s="82" t="s">
        <v>1</v>
      </c>
      <c r="S43" s="495"/>
      <c r="T43" s="499"/>
      <c r="U43" s="491"/>
      <c r="V43" s="6"/>
      <c r="W43" s="6"/>
      <c r="X43" s="6"/>
      <c r="Y43" s="6"/>
      <c r="Z43" s="6"/>
    </row>
    <row r="44" spans="1:26" ht="12" customHeight="1" x14ac:dyDescent="0.2">
      <c r="A44" s="104" t="s">
        <v>114</v>
      </c>
      <c r="B44" s="15"/>
      <c r="C44" s="367"/>
      <c r="D44" s="368"/>
      <c r="E44" s="629"/>
      <c r="F44" s="630"/>
      <c r="G44" s="369"/>
      <c r="H44" s="408"/>
      <c r="I44" s="158">
        <f>-H44</f>
        <v>0</v>
      </c>
      <c r="J44" s="306">
        <v>26</v>
      </c>
      <c r="K44" s="412"/>
      <c r="L44" s="413"/>
      <c r="M44" s="413"/>
      <c r="N44" s="413"/>
      <c r="O44" s="414"/>
      <c r="P44" s="6"/>
      <c r="Q44" s="370">
        <f>[1]Tab!E8</f>
        <v>0</v>
      </c>
      <c r="R44" s="371">
        <f>[1]Tab!F8</f>
        <v>1250</v>
      </c>
      <c r="S44" s="372">
        <f>[1]Tab!G8</f>
        <v>0.23</v>
      </c>
      <c r="T44" s="373">
        <f>ROUND(R44*S44,2)</f>
        <v>287.5</v>
      </c>
      <c r="U44" s="373">
        <f ca="1">ROUND(IF(AND($H$38&lt;=R44,$H$38&gt;0),$H$38*S44,0),2)</f>
        <v>0</v>
      </c>
      <c r="V44" s="6"/>
      <c r="W44" s="6"/>
      <c r="X44" s="6"/>
      <c r="Y44" s="6"/>
      <c r="Z44" s="6"/>
    </row>
    <row r="45" spans="1:26" s="341" customFormat="1" ht="12" customHeight="1" x14ac:dyDescent="0.2">
      <c r="A45" s="110" t="s">
        <v>115</v>
      </c>
      <c r="B45" s="18"/>
      <c r="C45" s="111" t="s">
        <v>252</v>
      </c>
      <c r="D45" s="374">
        <v>11</v>
      </c>
      <c r="E45" s="600"/>
      <c r="F45" s="601"/>
      <c r="G45" s="375"/>
      <c r="H45" s="328">
        <f>IF(I29=0,0,VLOOKUP($P$3,'[1]Mit-2'!$A$65:$P$79,12,FALSE))</f>
        <v>0</v>
      </c>
      <c r="I45" s="155">
        <f>IF($I$9="",ROUND(IF($I$29=0,0,-H45/D45),2),-Steuern!J53)</f>
        <v>0</v>
      </c>
      <c r="J45" s="306">
        <v>27</v>
      </c>
      <c r="K45" s="412"/>
      <c r="L45" s="413"/>
      <c r="M45" s="413"/>
      <c r="N45" s="413"/>
      <c r="O45" s="414"/>
      <c r="P45" s="6"/>
      <c r="Q45" s="370">
        <f>[1]Tab!E9</f>
        <v>1250.01</v>
      </c>
      <c r="R45" s="371">
        <f>[1]Tab!F9</f>
        <v>2333.33</v>
      </c>
      <c r="S45" s="372">
        <f>[1]Tab!G9</f>
        <v>0.23</v>
      </c>
      <c r="T45" s="373">
        <f>ROUND((R45-Q45)*S45+T44,2)</f>
        <v>536.66</v>
      </c>
      <c r="U45" s="373">
        <f ca="1">ROUND(IF(AND($H$38&lt;=R45,$H$38&gt;=Q45),T44+($H$38-R44)*S45,0),2)</f>
        <v>0</v>
      </c>
      <c r="V45" s="6"/>
      <c r="W45" s="6"/>
      <c r="X45" s="6"/>
      <c r="Y45" s="6"/>
      <c r="Z45" s="6"/>
    </row>
    <row r="46" spans="1:26" ht="12" customHeight="1" x14ac:dyDescent="0.2">
      <c r="A46" s="101" t="s">
        <v>142</v>
      </c>
      <c r="B46" s="376"/>
      <c r="C46" s="14"/>
      <c r="D46" s="12"/>
      <c r="E46" s="580"/>
      <c r="F46" s="581"/>
      <c r="G46" s="112"/>
      <c r="H46" s="113" t="s">
        <v>33</v>
      </c>
      <c r="I46" s="151"/>
      <c r="J46" s="306">
        <v>28</v>
      </c>
      <c r="K46" s="412"/>
      <c r="L46" s="413"/>
      <c r="M46" s="413"/>
      <c r="N46" s="413"/>
      <c r="O46" s="414"/>
      <c r="P46" s="6"/>
      <c r="Q46" s="370">
        <f>[1]Tab!E10</f>
        <v>2333.34</v>
      </c>
      <c r="R46" s="371">
        <f>[1]Tab!F10</f>
        <v>4166.67</v>
      </c>
      <c r="S46" s="372">
        <f>[1]Tab!G10</f>
        <v>0.35</v>
      </c>
      <c r="T46" s="373">
        <f>ROUND((R46-Q46)*S46+T45,2)</f>
        <v>1178.33</v>
      </c>
      <c r="U46" s="373">
        <f ca="1">ROUND(IF(AND($H$38&lt;=R46,$H$38&gt;=Q46),T45+($H$38-R45)*S46,0),2)</f>
        <v>0</v>
      </c>
      <c r="V46" s="6"/>
      <c r="W46" s="6"/>
      <c r="X46" s="6"/>
      <c r="Y46" s="6"/>
      <c r="Z46" s="6"/>
    </row>
    <row r="47" spans="1:26" ht="12" customHeight="1" x14ac:dyDescent="0.2">
      <c r="A47" s="104" t="s">
        <v>114</v>
      </c>
      <c r="B47" s="15"/>
      <c r="C47" s="367"/>
      <c r="D47" s="368"/>
      <c r="E47" s="600"/>
      <c r="F47" s="601"/>
      <c r="G47" s="369"/>
      <c r="H47" s="408"/>
      <c r="I47" s="152">
        <f>-H47</f>
        <v>0</v>
      </c>
      <c r="J47" s="306">
        <v>29</v>
      </c>
      <c r="K47" s="412"/>
      <c r="L47" s="413"/>
      <c r="M47" s="413"/>
      <c r="N47" s="413"/>
      <c r="O47" s="414"/>
      <c r="P47" s="341"/>
      <c r="Q47" s="370">
        <f>[1]Tab!E11</f>
        <v>4166.68</v>
      </c>
      <c r="R47" s="371">
        <f>[1]Tab!F11</f>
        <v>0</v>
      </c>
      <c r="S47" s="372">
        <f>[1]Tab!G11</f>
        <v>0.43</v>
      </c>
      <c r="T47" s="373"/>
      <c r="U47" s="373">
        <f ca="1">ROUND(IF(AND($H$38&lt;=R47,$H$38&gt;=Q47),T46+($H$38-R46)*S47,0),2)</f>
        <v>0</v>
      </c>
      <c r="V47" s="341"/>
      <c r="W47" s="341"/>
      <c r="X47" s="341"/>
      <c r="Y47" s="341"/>
      <c r="Z47" s="341"/>
    </row>
    <row r="48" spans="1:26" ht="12" customHeight="1" x14ac:dyDescent="0.2">
      <c r="A48" s="224" t="s">
        <v>115</v>
      </c>
      <c r="B48" s="225"/>
      <c r="C48" s="226" t="s">
        <v>253</v>
      </c>
      <c r="D48" s="377">
        <v>11</v>
      </c>
      <c r="E48" s="627"/>
      <c r="F48" s="628"/>
      <c r="G48" s="378"/>
      <c r="H48" s="340">
        <f>IF(I29=0,0,VLOOKUP($P$3,'[1]Mit-2'!$A$65:$AD$79,26,FALSE))</f>
        <v>0</v>
      </c>
      <c r="I48" s="155">
        <f>IF($I$9="",ROUND(IF($I$29=0,0,-H48/D48),2),-Steuern!N53)</f>
        <v>0</v>
      </c>
      <c r="J48" s="306">
        <v>30</v>
      </c>
      <c r="K48" s="412"/>
      <c r="L48" s="413"/>
      <c r="M48" s="413"/>
      <c r="N48" s="413"/>
      <c r="O48" s="414"/>
      <c r="P48" s="341"/>
      <c r="Q48" s="370">
        <f>[1]Tab!E12</f>
        <v>0</v>
      </c>
      <c r="R48" s="371"/>
      <c r="S48" s="372">
        <f>[1]Tab!G12</f>
        <v>0</v>
      </c>
      <c r="T48" s="379"/>
      <c r="U48" s="373">
        <f ca="1">ROUND(IF($H$38&gt;R47,T47+($H$38-R47)*S48,0),2)</f>
        <v>0</v>
      </c>
      <c r="V48" s="341"/>
      <c r="W48" s="341"/>
      <c r="X48" s="341"/>
      <c r="Y48" s="341"/>
      <c r="Z48" s="341"/>
    </row>
    <row r="49" spans="1:26" ht="12" customHeight="1" x14ac:dyDescent="0.2">
      <c r="A49" s="110" t="s">
        <v>147</v>
      </c>
      <c r="B49" s="231">
        <v>0.3</v>
      </c>
      <c r="C49" s="232">
        <f>H48</f>
        <v>0</v>
      </c>
      <c r="D49" s="233">
        <f>ROUND(C49*B49,2)</f>
        <v>0</v>
      </c>
      <c r="E49" s="598"/>
      <c r="F49" s="599"/>
      <c r="G49" s="234" t="s">
        <v>149</v>
      </c>
      <c r="H49" s="235">
        <v>9</v>
      </c>
      <c r="I49" s="393">
        <f>IF($I$9="",ROUND(IF($I$29=0,0,-D49/H49),2),-Steuern!R54)</f>
        <v>0</v>
      </c>
      <c r="J49" s="310">
        <v>31</v>
      </c>
      <c r="K49" s="412"/>
      <c r="L49" s="413"/>
      <c r="M49" s="413"/>
      <c r="N49" s="413"/>
      <c r="O49" s="414"/>
      <c r="P49" s="341"/>
      <c r="Q49" s="370">
        <f>[1]Tab!E13</f>
        <v>0</v>
      </c>
      <c r="R49" s="371"/>
      <c r="S49" s="372">
        <f>[1]Tab!G13</f>
        <v>0</v>
      </c>
      <c r="T49" s="379"/>
      <c r="U49" s="373">
        <f ca="1">ROUND(IF($H$38&gt;R48,T48+($H$38-R48)*S49,0),2)</f>
        <v>0</v>
      </c>
      <c r="V49" s="341"/>
      <c r="W49" s="341"/>
      <c r="X49" s="341"/>
      <c r="Y49" s="341"/>
      <c r="Z49" s="341"/>
    </row>
    <row r="50" spans="1:26" ht="12" customHeight="1" x14ac:dyDescent="0.2">
      <c r="A50" s="109" t="s">
        <v>139</v>
      </c>
      <c r="B50" s="380"/>
      <c r="C50" s="114" t="s">
        <v>34</v>
      </c>
      <c r="D50" s="114" t="s">
        <v>160</v>
      </c>
      <c r="E50" s="509" t="s">
        <v>161</v>
      </c>
      <c r="F50" s="510"/>
      <c r="G50" s="114" t="s">
        <v>162</v>
      </c>
      <c r="H50" s="230" t="s">
        <v>36</v>
      </c>
      <c r="I50" s="156"/>
      <c r="J50" s="311"/>
      <c r="K50" s="500">
        <f>SUM(K19:K49)</f>
        <v>0</v>
      </c>
      <c r="L50" s="496">
        <f>SUM(L19:L49)</f>
        <v>0</v>
      </c>
      <c r="M50" s="496">
        <f>SUM(M19:M49)</f>
        <v>0</v>
      </c>
      <c r="N50" s="496">
        <f>SUM(N19:N49)</f>
        <v>0</v>
      </c>
      <c r="O50" s="502">
        <f>SUM(O19:O49)</f>
        <v>0</v>
      </c>
      <c r="P50" s="6"/>
      <c r="Q50" s="381" t="s">
        <v>8</v>
      </c>
      <c r="R50" s="382"/>
      <c r="S50" s="79"/>
      <c r="T50" s="64"/>
      <c r="U50" s="80">
        <f ca="1">ROUND(SUM(U44:U47),2)</f>
        <v>0</v>
      </c>
      <c r="V50" s="6"/>
      <c r="W50" s="6"/>
      <c r="X50" s="6"/>
      <c r="Y50" s="6"/>
      <c r="Z50" s="6"/>
    </row>
    <row r="51" spans="1:26" ht="12" customHeight="1" x14ac:dyDescent="0.2">
      <c r="A51" s="104" t="s">
        <v>117</v>
      </c>
      <c r="B51" s="383"/>
      <c r="C51" s="327">
        <f>IF(I29=0,0,Steuern!J85)</f>
        <v>0</v>
      </c>
      <c r="D51" s="327">
        <f>IF(I29=0,0,Steuern!L85)</f>
        <v>0</v>
      </c>
      <c r="E51" s="600">
        <f>IF(I29=0,0,Steuern!N85)</f>
        <v>0</v>
      </c>
      <c r="F51" s="601"/>
      <c r="G51" s="327">
        <f>IF(I29=0,0,Steuern!P85)</f>
        <v>0</v>
      </c>
      <c r="H51" s="384">
        <f>IF(I29=0,0,Steuern!R85)</f>
        <v>0</v>
      </c>
      <c r="I51" s="156"/>
      <c r="J51" s="309"/>
      <c r="K51" s="501"/>
      <c r="L51" s="497"/>
      <c r="M51" s="497"/>
      <c r="N51" s="497"/>
      <c r="O51" s="503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</row>
    <row r="52" spans="1:26" ht="12" customHeight="1" x14ac:dyDescent="0.2">
      <c r="A52" s="110" t="s">
        <v>138</v>
      </c>
      <c r="B52" s="385"/>
      <c r="C52" s="386">
        <f>IF($I$9="",0,Steuern!J89)</f>
        <v>0</v>
      </c>
      <c r="D52" s="386">
        <f>U60</f>
        <v>0</v>
      </c>
      <c r="E52" s="620">
        <f>IF($I$9="",0,conguaglio!F60)</f>
        <v>0</v>
      </c>
      <c r="F52" s="621"/>
      <c r="G52" s="387">
        <f>IF($I$9="",0,conguaglio!G63)</f>
        <v>0</v>
      </c>
      <c r="H52" s="312">
        <f>IF((D52-E52-G52)&lt;0,0,D52-E52-G52)</f>
        <v>0</v>
      </c>
      <c r="I52" s="153">
        <f>IF($I$9="",0,H51-H52)</f>
        <v>0</v>
      </c>
      <c r="J52" s="504" t="s">
        <v>230</v>
      </c>
      <c r="K52" s="505"/>
      <c r="L52" s="505"/>
      <c r="M52" s="505"/>
      <c r="N52" s="505"/>
      <c r="O52" s="506"/>
      <c r="P52" s="6"/>
      <c r="Q52" s="6"/>
      <c r="R52" s="6"/>
      <c r="S52" s="6"/>
      <c r="T52" s="66"/>
      <c r="U52" s="6"/>
      <c r="V52" s="6"/>
      <c r="W52" s="6"/>
      <c r="X52" s="6"/>
      <c r="Y52" s="6"/>
      <c r="Z52" s="6"/>
    </row>
    <row r="53" spans="1:26" ht="12" customHeight="1" x14ac:dyDescent="0.2">
      <c r="A53" s="119" t="s">
        <v>119</v>
      </c>
      <c r="B53" s="349"/>
      <c r="C53" s="349"/>
      <c r="D53" s="349"/>
      <c r="E53" s="349"/>
      <c r="F53" s="349"/>
      <c r="G53" s="349"/>
      <c r="H53" s="349"/>
      <c r="I53" s="154">
        <f ca="1">SUM(I29:I52)</f>
        <v>0</v>
      </c>
      <c r="J53" s="307"/>
      <c r="O53" s="344"/>
      <c r="P53" s="30"/>
      <c r="Q53" s="492" t="s">
        <v>6</v>
      </c>
      <c r="R53" s="493"/>
      <c r="S53" s="494" t="s">
        <v>7</v>
      </c>
      <c r="T53" s="498" t="s">
        <v>5</v>
      </c>
      <c r="U53" s="490" t="s">
        <v>2</v>
      </c>
      <c r="V53" s="30"/>
      <c r="W53" s="30"/>
      <c r="X53" s="30"/>
      <c r="Y53" s="30"/>
      <c r="Z53" s="30"/>
    </row>
    <row r="54" spans="1:26" ht="12" customHeight="1" x14ac:dyDescent="0.2">
      <c r="A54" s="115" t="s">
        <v>120</v>
      </c>
      <c r="B54" s="95" t="s">
        <v>124</v>
      </c>
      <c r="C54" s="388">
        <f>IF($I$9="",0,VLOOKUP($P$3,'[1]Mit-1'!$A$5:$AD$19,22,FALSE))</f>
        <v>0</v>
      </c>
      <c r="D54" s="95" t="s">
        <v>38</v>
      </c>
      <c r="E54" s="617">
        <f>ROUND(IF($I$9="",0,Steuern!$D$89/13.5),2)</f>
        <v>0</v>
      </c>
      <c r="F54" s="618"/>
      <c r="G54" s="95" t="s">
        <v>40</v>
      </c>
      <c r="H54" s="389">
        <f>IF($I$9="",0,Steuern!$F$89)</f>
        <v>0</v>
      </c>
      <c r="I54" s="398">
        <f>C54+E54-H54</f>
        <v>0</v>
      </c>
      <c r="J54" s="568"/>
      <c r="K54" s="476"/>
      <c r="L54" s="476"/>
      <c r="M54" s="476"/>
      <c r="N54" s="476"/>
      <c r="O54" s="477"/>
      <c r="Q54" s="81" t="s">
        <v>0</v>
      </c>
      <c r="R54" s="82" t="s">
        <v>1</v>
      </c>
      <c r="S54" s="495"/>
      <c r="T54" s="499"/>
      <c r="U54" s="491"/>
      <c r="V54" s="341"/>
      <c r="W54" s="341"/>
      <c r="X54" s="341"/>
    </row>
    <row r="55" spans="1:26" ht="15" customHeight="1" x14ac:dyDescent="0.2">
      <c r="A55" s="116" t="s">
        <v>121</v>
      </c>
      <c r="B55" s="117" t="s">
        <v>37</v>
      </c>
      <c r="C55" s="406"/>
      <c r="D55" s="117" t="s">
        <v>39</v>
      </c>
      <c r="E55" s="623"/>
      <c r="F55" s="624"/>
      <c r="G55" s="117" t="s">
        <v>35</v>
      </c>
      <c r="H55" s="408"/>
      <c r="I55" s="399">
        <f>-(E55-H55)</f>
        <v>0</v>
      </c>
      <c r="J55" s="402"/>
      <c r="K55" s="401"/>
      <c r="L55" s="401"/>
      <c r="M55" s="401"/>
      <c r="N55" s="572"/>
      <c r="O55" s="573"/>
      <c r="Q55" s="370">
        <f>[1]Tab!A8</f>
        <v>0</v>
      </c>
      <c r="R55" s="371">
        <f>[1]Tab!D8</f>
        <v>15000</v>
      </c>
      <c r="S55" s="372">
        <f>S44</f>
        <v>0.23</v>
      </c>
      <c r="T55" s="373">
        <f>ROUND(R55*S55,2)</f>
        <v>3450</v>
      </c>
      <c r="U55" s="373">
        <f>ROUND(IF(AND($C$52&lt;=R55,C52&gt;0),$C$52*S55,0),2)</f>
        <v>0</v>
      </c>
      <c r="V55" s="341"/>
      <c r="W55" s="341"/>
      <c r="X55" s="341"/>
    </row>
    <row r="56" spans="1:26" ht="16.899999999999999" customHeight="1" x14ac:dyDescent="0.2">
      <c r="A56" s="453" t="s">
        <v>122</v>
      </c>
      <c r="B56" s="118" t="s">
        <v>125</v>
      </c>
      <c r="C56" s="463">
        <f>ROUND(C54*'[1]Mit-2'!$L$84%,2)</f>
        <v>0</v>
      </c>
      <c r="D56" s="118" t="s">
        <v>262</v>
      </c>
      <c r="E56" s="620">
        <f>ROUND(C56*[1]Tab!$G$142,2)</f>
        <v>0</v>
      </c>
      <c r="F56" s="621"/>
      <c r="G56" s="455"/>
      <c r="H56" s="464"/>
      <c r="I56" s="153">
        <f>C56-E56</f>
        <v>0</v>
      </c>
      <c r="J56" s="402"/>
      <c r="K56" s="401"/>
      <c r="L56" s="401"/>
      <c r="M56" s="401"/>
      <c r="N56" s="572"/>
      <c r="O56" s="573"/>
      <c r="Q56" s="370">
        <f>[1]Tab!A9</f>
        <v>15000.01</v>
      </c>
      <c r="R56" s="371">
        <f>[1]Tab!D9</f>
        <v>28000</v>
      </c>
      <c r="S56" s="372">
        <f>S45</f>
        <v>0.23</v>
      </c>
      <c r="T56" s="373">
        <f>ROUND((R56-Q56)*S56+T55,2)</f>
        <v>6440</v>
      </c>
      <c r="U56" s="373">
        <f>ROUND(IF(AND($C$52&lt;=R56,$C$52&gt;=Q56),T55+($C$52-R55)*S56,0),2)</f>
        <v>0</v>
      </c>
    </row>
    <row r="57" spans="1:26" ht="12.75" customHeight="1" x14ac:dyDescent="0.2">
      <c r="A57" s="448" t="s">
        <v>242</v>
      </c>
      <c r="B57" s="459"/>
      <c r="C57" s="459"/>
      <c r="D57" s="460"/>
      <c r="E57" s="622"/>
      <c r="F57" s="622"/>
      <c r="G57" s="460"/>
      <c r="H57" s="461"/>
      <c r="I57" s="452">
        <f ca="1">ROUND(IF(SUM(H39:H40)&gt;=0,0,VLOOKUP($P$3,'[1]Mit-1'!$A$5:$AC$19,20,FALSE)/[1]Firma!$C$24*IF(R9=0,T9,R9)),2)</f>
        <v>0</v>
      </c>
      <c r="J57" s="569"/>
      <c r="K57" s="570"/>
      <c r="L57" s="570"/>
      <c r="M57" s="570"/>
      <c r="N57" s="570"/>
      <c r="O57" s="571"/>
      <c r="P57" s="30"/>
      <c r="Q57" s="370">
        <f>[1]Tab!A10</f>
        <v>28000.01</v>
      </c>
      <c r="R57" s="371">
        <f>[1]Tab!D10</f>
        <v>50000</v>
      </c>
      <c r="S57" s="372">
        <f>S46</f>
        <v>0.35</v>
      </c>
      <c r="T57" s="373">
        <f>ROUND((R57-Q57)*S57+T56,2)</f>
        <v>14140</v>
      </c>
      <c r="U57" s="373">
        <f>ROUND(IF(AND($C$52&lt;=R57,$C$52&gt;=Q57),T56+($C$52-R56)*S57,0),2)</f>
        <v>0</v>
      </c>
      <c r="V57" s="30"/>
      <c r="W57" s="30"/>
      <c r="X57" s="30"/>
      <c r="Y57" s="30"/>
      <c r="Z57" s="30"/>
    </row>
    <row r="58" spans="1:26" ht="12.75" customHeight="1" x14ac:dyDescent="0.2">
      <c r="A58" s="465"/>
      <c r="B58" s="470"/>
      <c r="C58" s="470"/>
      <c r="D58" s="471"/>
      <c r="E58" s="619"/>
      <c r="F58" s="619"/>
      <c r="G58" s="471"/>
      <c r="H58" s="472"/>
      <c r="I58" s="469"/>
      <c r="J58" s="402"/>
      <c r="K58" s="401"/>
      <c r="L58" s="401"/>
      <c r="M58" s="401"/>
      <c r="N58" s="572"/>
      <c r="O58" s="573"/>
      <c r="P58" s="30"/>
      <c r="Q58" s="370">
        <f>[1]Tab!A11</f>
        <v>50000.01</v>
      </c>
      <c r="R58" s="371">
        <f>[1]Tab!D11</f>
        <v>0</v>
      </c>
      <c r="S58" s="372">
        <f>S47</f>
        <v>0.43</v>
      </c>
      <c r="T58" s="373"/>
      <c r="U58" s="373">
        <f>ROUND(IF(AND($C$52&lt;=R58,$C$52&gt;=Q58),T57+($C$52-R57)*S58,0),2)</f>
        <v>0</v>
      </c>
      <c r="V58" s="30"/>
      <c r="W58" s="30"/>
      <c r="X58" s="30"/>
      <c r="Y58" s="30"/>
      <c r="Z58" s="30"/>
    </row>
    <row r="59" spans="1:26" ht="12" customHeight="1" x14ac:dyDescent="0.2">
      <c r="A59" s="106" t="s">
        <v>123</v>
      </c>
      <c r="B59" s="367"/>
      <c r="C59" s="390"/>
      <c r="D59" s="117" t="s">
        <v>41</v>
      </c>
      <c r="E59" s="615">
        <f>-'08'!H59</f>
        <v>0</v>
      </c>
      <c r="F59" s="616"/>
      <c r="G59" s="117" t="s">
        <v>42</v>
      </c>
      <c r="H59" s="329">
        <f>IF(I29=0,0,SUM(I60-Q61))</f>
        <v>0</v>
      </c>
      <c r="I59" s="399">
        <f>IF(I29=0,0,SUM(E59,H59))</f>
        <v>0</v>
      </c>
      <c r="J59" s="402"/>
      <c r="K59" s="401"/>
      <c r="L59" s="401"/>
      <c r="M59" s="401"/>
      <c r="N59" s="572"/>
      <c r="O59" s="573"/>
      <c r="P59" s="30"/>
      <c r="Q59" s="370">
        <f>[1]Tab!A12</f>
        <v>0</v>
      </c>
      <c r="R59" s="371"/>
      <c r="S59" s="372">
        <f>S48</f>
        <v>0</v>
      </c>
      <c r="T59" s="379"/>
      <c r="U59" s="373">
        <f>ROUND(IF($C$52&gt;R58,T58+($C$52-R58)*S59,0),2)</f>
        <v>0</v>
      </c>
      <c r="V59" s="30"/>
      <c r="W59" s="30"/>
      <c r="X59" s="30"/>
      <c r="Y59" s="30"/>
      <c r="Z59" s="30"/>
    </row>
    <row r="60" spans="1:26" ht="12" customHeight="1" x14ac:dyDescent="0.2">
      <c r="A60" s="319" t="s">
        <v>43</v>
      </c>
      <c r="B60" s="391"/>
      <c r="C60" s="391"/>
      <c r="D60" s="391"/>
      <c r="E60" s="391"/>
      <c r="F60" s="391"/>
      <c r="G60" s="391"/>
      <c r="H60" s="391"/>
      <c r="I60" s="400">
        <f>IF(I29=0,0,ROUNDUP(Q61,0))</f>
        <v>0</v>
      </c>
      <c r="J60" s="403"/>
      <c r="K60" s="404"/>
      <c r="L60" s="404"/>
      <c r="M60" s="404"/>
      <c r="N60" s="566"/>
      <c r="O60" s="567"/>
      <c r="P60" s="6"/>
      <c r="Q60" s="381" t="s">
        <v>8</v>
      </c>
      <c r="R60" s="382"/>
      <c r="S60" s="79"/>
      <c r="T60" s="64"/>
      <c r="U60" s="80">
        <f>ROUND(SUM(U55:U59),2)</f>
        <v>0</v>
      </c>
      <c r="V60" s="6"/>
      <c r="W60" s="6"/>
      <c r="X60" s="6"/>
      <c r="Y60" s="6"/>
      <c r="Z60" s="6"/>
    </row>
    <row r="61" spans="1:26" ht="15" customHeight="1" x14ac:dyDescent="0.2">
      <c r="A61" s="341"/>
      <c r="B61" s="341"/>
      <c r="C61" s="341"/>
      <c r="D61" s="341"/>
      <c r="E61" s="341"/>
      <c r="F61" s="341"/>
      <c r="G61" s="341"/>
      <c r="H61" s="341"/>
      <c r="I61" s="341"/>
      <c r="K61" s="341"/>
      <c r="L61" s="341"/>
      <c r="M61" s="341"/>
      <c r="Q61" s="392">
        <f ca="1">SUM(I53:I58,E59)</f>
        <v>0</v>
      </c>
    </row>
    <row r="62" spans="1:26" x14ac:dyDescent="0.2">
      <c r="Q62" s="392"/>
    </row>
    <row r="63" spans="1:26" ht="15.75" customHeight="1" x14ac:dyDescent="0.2">
      <c r="Q63" s="392"/>
    </row>
    <row r="64" spans="1:26" x14ac:dyDescent="0.2">
      <c r="A64" s="71" t="str">
        <f>'[1]Beschr-Descr.'!A1</f>
        <v xml:space="preserve">Beschreibung Lohnelemente  </v>
      </c>
      <c r="Q64" s="392"/>
    </row>
    <row r="65" spans="1:6" x14ac:dyDescent="0.2">
      <c r="A65" s="71" t="str">
        <f>'[1]Beschr-Descr.'!A2</f>
        <v>Descrizione elementi di retribuzione</v>
      </c>
      <c r="F65" s="71" t="s">
        <v>3</v>
      </c>
    </row>
    <row r="66" spans="1:6" x14ac:dyDescent="0.2">
      <c r="A66" s="345">
        <f>'[1]Beschr-Descr.'!A3</f>
        <v>0</v>
      </c>
      <c r="B66" s="345">
        <f>'[1]Beschr-Descr.'!B3</f>
        <v>0</v>
      </c>
      <c r="C66" s="345">
        <f>'[1]Beschr-Descr.'!C3</f>
        <v>0</v>
      </c>
      <c r="D66" s="345">
        <f>'[1]Beschr-Descr.'!D3</f>
        <v>0</v>
      </c>
      <c r="E66" s="345">
        <f>'[1]Beschr-Descr.'!E3</f>
        <v>0</v>
      </c>
    </row>
    <row r="67" spans="1:6" x14ac:dyDescent="0.2">
      <c r="A67" s="345" t="str">
        <f>'[1]Beschr-Descr.'!A4</f>
        <v>Normalentlohnung</v>
      </c>
      <c r="C67" s="345">
        <f>'[1]Beschr-Descr.'!C4</f>
        <v>0</v>
      </c>
      <c r="D67" s="345">
        <f>'[1]Beschr-Descr.'!D4</f>
        <v>0</v>
      </c>
      <c r="E67" s="207">
        <f>'[1]Beschr-Descr.'!E4</f>
        <v>0</v>
      </c>
      <c r="F67" s="345" t="s">
        <v>44</v>
      </c>
    </row>
    <row r="68" spans="1:6" x14ac:dyDescent="0.2">
      <c r="A68" s="345" t="str">
        <f>'[1]Beschr-Descr.'!A5</f>
        <v>Genossener Urlaub</v>
      </c>
      <c r="C68" s="345">
        <f>'[1]Beschr-Descr.'!C5</f>
        <v>0</v>
      </c>
      <c r="D68" s="345">
        <f>'[1]Beschr-Descr.'!D5</f>
        <v>0</v>
      </c>
      <c r="E68" s="207">
        <f>'[1]Beschr-Descr.'!E5</f>
        <v>0</v>
      </c>
      <c r="F68" s="345" t="s">
        <v>45</v>
      </c>
    </row>
    <row r="69" spans="1:6" x14ac:dyDescent="0.2">
      <c r="A69" s="345" t="str">
        <f>'[1]Beschr-Descr.'!A6</f>
        <v>Genossene Freistellungen</v>
      </c>
      <c r="C69" s="345">
        <f>'[1]Beschr-Descr.'!C6</f>
        <v>0</v>
      </c>
      <c r="D69" s="345">
        <f>'[1]Beschr-Descr.'!D6</f>
        <v>0</v>
      </c>
      <c r="E69" s="207">
        <f>'[1]Beschr-Descr.'!E6</f>
        <v>0</v>
      </c>
      <c r="F69" s="345" t="s">
        <v>46</v>
      </c>
    </row>
    <row r="70" spans="1:6" x14ac:dyDescent="0.2">
      <c r="A70" s="345" t="str">
        <f>'[1]Beschr-Descr.'!A7</f>
        <v>Nicht genossener Urlaub</v>
      </c>
      <c r="C70" s="345">
        <f>'[1]Beschr-Descr.'!C7</f>
        <v>0</v>
      </c>
      <c r="D70" s="345">
        <f>'[1]Beschr-Descr.'!D7</f>
        <v>0</v>
      </c>
      <c r="E70" s="207">
        <f>'[1]Beschr-Descr.'!E7</f>
        <v>0</v>
      </c>
    </row>
    <row r="71" spans="1:6" x14ac:dyDescent="0.2">
      <c r="A71" s="345" t="str">
        <f>'[1]Beschr-Descr.'!A8</f>
        <v>Nicht genossene Freistellungen</v>
      </c>
      <c r="C71" s="345">
        <f>'[1]Beschr-Descr.'!C8</f>
        <v>0</v>
      </c>
      <c r="D71" s="345">
        <f>'[1]Beschr-Descr.'!D8</f>
        <v>0</v>
      </c>
      <c r="E71" s="207">
        <f>'[1]Beschr-Descr.'!E8</f>
        <v>0</v>
      </c>
    </row>
    <row r="72" spans="1:6" x14ac:dyDescent="0.2">
      <c r="A72" s="345" t="str">
        <f>'[1]Beschr-Descr.'!A9</f>
        <v>Nicht genossene Feiertage</v>
      </c>
      <c r="C72" s="345">
        <f>'[1]Beschr-Descr.'!C9</f>
        <v>0</v>
      </c>
      <c r="D72" s="345">
        <f>'[1]Beschr-Descr.'!D9</f>
        <v>0</v>
      </c>
      <c r="E72" s="207">
        <f>'[1]Beschr-Descr.'!E9</f>
        <v>0</v>
      </c>
    </row>
    <row r="73" spans="1:6" x14ac:dyDescent="0.2">
      <c r="A73" s="345" t="str">
        <f>'[1]Beschr-Descr.'!A10</f>
        <v>Zulage für Kassarisiko</v>
      </c>
      <c r="C73" s="345">
        <f>'[1]Beschr-Descr.'!C10</f>
        <v>0</v>
      </c>
      <c r="D73" s="345">
        <f>'[1]Beschr-Descr.'!D10</f>
        <v>0</v>
      </c>
      <c r="E73" s="207">
        <f>'[1]Beschr-Descr.'!E10</f>
        <v>0</v>
      </c>
    </row>
    <row r="74" spans="1:6" x14ac:dyDescent="0.2">
      <c r="A74" s="345">
        <f>'[1]Beschr-Descr.'!A11</f>
        <v>0</v>
      </c>
      <c r="C74" s="345">
        <f>'[1]Beschr-Descr.'!C11</f>
        <v>0</v>
      </c>
      <c r="D74" s="345">
        <f>'[1]Beschr-Descr.'!D11</f>
        <v>0</v>
      </c>
      <c r="E74" s="207">
        <f>'[1]Beschr-Descr.'!E11</f>
        <v>0</v>
      </c>
    </row>
    <row r="75" spans="1:6" x14ac:dyDescent="0.2">
      <c r="A75" s="345" t="str">
        <f>'[1]Beschr-Descr.'!A12</f>
        <v xml:space="preserve">Überstunden 15%  </v>
      </c>
      <c r="C75" s="345">
        <f>'[1]Beschr-Descr.'!C12</f>
        <v>0</v>
      </c>
      <c r="D75" s="345">
        <f>'[1]Beschr-Descr.'!D12</f>
        <v>0</v>
      </c>
      <c r="E75" s="207">
        <f>'[1]Beschr-Descr.'!E12</f>
        <v>0.15</v>
      </c>
    </row>
    <row r="76" spans="1:6" x14ac:dyDescent="0.2">
      <c r="A76" s="345" t="str">
        <f>'[1]Beschr-Descr.'!A13</f>
        <v xml:space="preserve">Überstunden 20%  </v>
      </c>
      <c r="C76" s="345">
        <f>'[1]Beschr-Descr.'!C13</f>
        <v>0</v>
      </c>
      <c r="D76" s="345">
        <f>'[1]Beschr-Descr.'!D13</f>
        <v>0</v>
      </c>
      <c r="E76" s="207">
        <f>'[1]Beschr-Descr.'!E13</f>
        <v>0.2</v>
      </c>
    </row>
    <row r="77" spans="1:6" x14ac:dyDescent="0.2">
      <c r="A77" s="345" t="str">
        <f>'[1]Beschr-Descr.'!A14</f>
        <v xml:space="preserve">Überstunden 30%  </v>
      </c>
      <c r="C77" s="345">
        <f>'[1]Beschr-Descr.'!C14</f>
        <v>0</v>
      </c>
      <c r="D77" s="345">
        <f>'[1]Beschr-Descr.'!D14</f>
        <v>0</v>
      </c>
      <c r="E77" s="207">
        <f>'[1]Beschr-Descr.'!E14</f>
        <v>0.3</v>
      </c>
    </row>
    <row r="78" spans="1:6" x14ac:dyDescent="0.2">
      <c r="A78" s="345" t="str">
        <f>'[1]Beschr-Descr.'!A15</f>
        <v xml:space="preserve">Überstunden 50%  </v>
      </c>
      <c r="C78" s="345">
        <f>'[1]Beschr-Descr.'!C15</f>
        <v>0</v>
      </c>
      <c r="D78" s="345">
        <f>'[1]Beschr-Descr.'!D15</f>
        <v>0</v>
      </c>
      <c r="E78" s="207">
        <f>'[1]Beschr-Descr.'!E15</f>
        <v>0.5</v>
      </c>
    </row>
    <row r="79" spans="1:6" x14ac:dyDescent="0.2">
      <c r="A79" s="345" t="str">
        <f>'[1]Beschr-Descr.'!A16</f>
        <v>Nachtstunden 50%</v>
      </c>
      <c r="C79" s="345">
        <f>'[1]Beschr-Descr.'!C16</f>
        <v>0</v>
      </c>
      <c r="D79" s="345">
        <f>'[1]Beschr-Descr.'!D16</f>
        <v>0</v>
      </c>
      <c r="E79" s="207">
        <f>'[1]Beschr-Descr.'!E16</f>
        <v>0.5</v>
      </c>
    </row>
    <row r="80" spans="1:6" x14ac:dyDescent="0.2">
      <c r="A80" s="345">
        <f>'[1]Beschr-Descr.'!A17</f>
        <v>0</v>
      </c>
      <c r="C80" s="345">
        <f>'[1]Beschr-Descr.'!C17</f>
        <v>0</v>
      </c>
      <c r="D80" s="345">
        <f>'[1]Beschr-Descr.'!D17</f>
        <v>0</v>
      </c>
      <c r="E80" s="207">
        <f>'[1]Beschr-Descr.'!E17</f>
        <v>0</v>
      </c>
    </row>
    <row r="81" spans="1:5" x14ac:dyDescent="0.2">
      <c r="A81" s="345" t="str">
        <f>'[1]Beschr-Descr.'!A18</f>
        <v>Krankheit gesamt</v>
      </c>
      <c r="C81" s="345">
        <f>'[1]Beschr-Descr.'!C18</f>
        <v>0</v>
      </c>
      <c r="D81" s="345">
        <f>'[1]Beschr-Descr.'!D18</f>
        <v>0</v>
      </c>
      <c r="E81" s="207">
        <f>'[1]Beschr-Descr.'!E18</f>
        <v>0</v>
      </c>
    </row>
    <row r="82" spans="1:5" x14ac:dyDescent="0.2">
      <c r="A82" s="345" t="str">
        <f>'[1]Beschr-Descr.'!A19</f>
        <v xml:space="preserve">Krankheit INPS-Anteil 50,00% </v>
      </c>
      <c r="C82" s="345">
        <f>'[1]Beschr-Descr.'!C19</f>
        <v>0</v>
      </c>
      <c r="D82" s="345">
        <f>'[1]Beschr-Descr.'!D19</f>
        <v>0</v>
      </c>
      <c r="E82" s="207">
        <f>'[1]Beschr-Descr.'!E19</f>
        <v>-0.5</v>
      </c>
    </row>
    <row r="83" spans="1:5" x14ac:dyDescent="0.2">
      <c r="A83" s="345" t="str">
        <f>'[1]Beschr-Descr.'!A20</f>
        <v xml:space="preserve">Krankheit INPS-Anteil 66,67% </v>
      </c>
      <c r="C83" s="345">
        <f>'[1]Beschr-Descr.'!C20</f>
        <v>0</v>
      </c>
      <c r="D83" s="345">
        <f>'[1]Beschr-Descr.'!D20</f>
        <v>0</v>
      </c>
      <c r="E83" s="207">
        <f>'[1]Beschr-Descr.'!E20</f>
        <v>-0.66669999999999996</v>
      </c>
    </row>
    <row r="84" spans="1:5" x14ac:dyDescent="0.2">
      <c r="A84" s="345" t="str">
        <f>'[1]Beschr-Descr.'!A21</f>
        <v>Mutterschaft Gesamtbetrag</v>
      </c>
      <c r="C84" s="345">
        <f>'[1]Beschr-Descr.'!C21</f>
        <v>0</v>
      </c>
      <c r="D84" s="345">
        <f>'[1]Beschr-Descr.'!D21</f>
        <v>0</v>
      </c>
      <c r="E84" s="207">
        <f>'[1]Beschr-Descr.'!E21</f>
        <v>0</v>
      </c>
    </row>
    <row r="85" spans="1:5" x14ac:dyDescent="0.2">
      <c r="A85" s="345" t="str">
        <f>'[1]Beschr-Descr.'!A22</f>
        <v>Mutterschaft INPS-Anteil 80,00%</v>
      </c>
      <c r="C85" s="345">
        <f>'[1]Beschr-Descr.'!C22</f>
        <v>0</v>
      </c>
      <c r="D85" s="345">
        <f>'[1]Beschr-Descr.'!D22</f>
        <v>0</v>
      </c>
      <c r="E85" s="207">
        <f>'[1]Beschr-Descr.'!E22</f>
        <v>-0.8</v>
      </c>
    </row>
    <row r="86" spans="1:5" x14ac:dyDescent="0.2">
      <c r="A86" s="345" t="str">
        <f>'[1]Beschr-Descr.'!A23</f>
        <v>Abzug Bruttoberechnung Krankengeld INPS</v>
      </c>
      <c r="C86" s="345">
        <f>'[1]Beschr-Descr.'!C23</f>
        <v>0</v>
      </c>
      <c r="D86" s="345">
        <f>'[1]Beschr-Descr.'!D23</f>
        <v>0</v>
      </c>
      <c r="E86" s="207">
        <f>'[1]Beschr-Descr.'!E23</f>
        <v>0.10120030833608633</v>
      </c>
    </row>
    <row r="87" spans="1:5" x14ac:dyDescent="0.2">
      <c r="A87" s="345">
        <f>'[1]Beschr-Descr.'!A24</f>
        <v>0</v>
      </c>
      <c r="C87" s="345">
        <f>'[1]Beschr-Descr.'!C24</f>
        <v>0</v>
      </c>
      <c r="D87" s="345">
        <f>'[1]Beschr-Descr.'!D24</f>
        <v>0</v>
      </c>
      <c r="E87" s="207">
        <f>'[1]Beschr-Descr.'!E24</f>
        <v>0</v>
      </c>
    </row>
    <row r="88" spans="1:5" x14ac:dyDescent="0.2">
      <c r="A88" s="345" t="str">
        <f>'[1]Beschr-Descr.'!A25</f>
        <v xml:space="preserve">13. Monatsgehalt  </v>
      </c>
      <c r="C88" s="345">
        <f>'[1]Beschr-Descr.'!C25</f>
        <v>0</v>
      </c>
      <c r="D88" s="345">
        <f>'[1]Beschr-Descr.'!D25</f>
        <v>0</v>
      </c>
      <c r="E88" s="207">
        <f>'[1]Beschr-Descr.'!E25</f>
        <v>0</v>
      </c>
    </row>
    <row r="89" spans="1:5" x14ac:dyDescent="0.2">
      <c r="A89" s="345" t="str">
        <f>'[1]Beschr-Descr.'!A26</f>
        <v xml:space="preserve">14. Monatsgehalt  </v>
      </c>
      <c r="C89" s="345">
        <f>'[1]Beschr-Descr.'!C26</f>
        <v>0</v>
      </c>
      <c r="D89" s="345">
        <f>'[1]Beschr-Descr.'!D26</f>
        <v>0</v>
      </c>
      <c r="E89" s="207">
        <f>'[1]Beschr-Descr.'!E26</f>
        <v>0</v>
      </c>
    </row>
    <row r="90" spans="1:5" x14ac:dyDescent="0.2">
      <c r="A90" s="345" t="str">
        <f>'[1]Beschr-Descr.'!A27</f>
        <v xml:space="preserve">Nichteinhaltung Kündigungsfrist  </v>
      </c>
      <c r="C90" s="345">
        <f>'[1]Beschr-Descr.'!C27</f>
        <v>0</v>
      </c>
      <c r="D90" s="345">
        <f>'[1]Beschr-Descr.'!D27</f>
        <v>0</v>
      </c>
      <c r="E90" s="207">
        <f>'[1]Beschr-Descr.'!E27</f>
        <v>0</v>
      </c>
    </row>
    <row r="91" spans="1:5" x14ac:dyDescent="0.2">
      <c r="A91" s="345" t="str">
        <f>'[1]Beschr-Descr.'!A28</f>
        <v>Una Tantum</v>
      </c>
      <c r="C91" s="345">
        <f>'[1]Beschr-Descr.'!C28</f>
        <v>0</v>
      </c>
      <c r="D91" s="345">
        <f>'[1]Beschr-Descr.'!D28</f>
        <v>0</v>
      </c>
      <c r="E91" s="207">
        <f>'[1]Beschr-Descr.'!E28</f>
        <v>0</v>
      </c>
    </row>
    <row r="92" spans="1:5" x14ac:dyDescent="0.2">
      <c r="A92" s="345" t="str">
        <f>'[1]Beschr-Descr.'!A29</f>
        <v>Prämie</v>
      </c>
      <c r="C92" s="345">
        <f>'[1]Beschr-Descr.'!C29</f>
        <v>0</v>
      </c>
      <c r="D92" s="345">
        <f>'[1]Beschr-Descr.'!D29</f>
        <v>0</v>
      </c>
      <c r="E92" s="207">
        <f>'[1]Beschr-Descr.'!E29</f>
        <v>0</v>
      </c>
    </row>
    <row r="93" spans="1:5" x14ac:dyDescent="0.2">
      <c r="A93" s="345">
        <f>'[1]Beschr-Descr.'!A30</f>
        <v>0</v>
      </c>
      <c r="C93" s="345">
        <f>'[1]Beschr-Descr.'!C30</f>
        <v>0</v>
      </c>
      <c r="D93" s="345">
        <f>'[1]Beschr-Descr.'!D30</f>
        <v>0</v>
      </c>
      <c r="E93" s="207">
        <f>'[1]Beschr-Descr.'!E30</f>
        <v>0</v>
      </c>
    </row>
    <row r="94" spans="1:5" x14ac:dyDescent="0.2">
      <c r="A94" s="345">
        <f>'[1]Beschr-Descr.'!A31</f>
        <v>0</v>
      </c>
      <c r="C94" s="345">
        <f>'[1]Beschr-Descr.'!C31</f>
        <v>0</v>
      </c>
      <c r="D94" s="345">
        <f>'[1]Beschr-Descr.'!D31</f>
        <v>0</v>
      </c>
      <c r="E94" s="207">
        <f>'[1]Beschr-Descr.'!E31</f>
        <v>0</v>
      </c>
    </row>
    <row r="95" spans="1:5" x14ac:dyDescent="0.2">
      <c r="A95" s="345" t="str">
        <f>'[1]Beschr-Descr.'!A32</f>
        <v xml:space="preserve">Retribuzione ordinaria </v>
      </c>
      <c r="C95" s="345">
        <f>'[1]Beschr-Descr.'!C32</f>
        <v>0</v>
      </c>
      <c r="D95" s="345">
        <f>'[1]Beschr-Descr.'!D32</f>
        <v>0</v>
      </c>
      <c r="E95" s="207">
        <f>'[1]Beschr-Descr.'!E32</f>
        <v>0</v>
      </c>
    </row>
    <row r="96" spans="1:5" x14ac:dyDescent="0.2">
      <c r="A96" s="345" t="str">
        <f>'[1]Beschr-Descr.'!A33</f>
        <v>Ferie godute</v>
      </c>
      <c r="C96" s="345">
        <f>'[1]Beschr-Descr.'!C33</f>
        <v>0</v>
      </c>
      <c r="D96" s="345">
        <f>'[1]Beschr-Descr.'!D33</f>
        <v>0</v>
      </c>
      <c r="E96" s="207">
        <f>'[1]Beschr-Descr.'!E33</f>
        <v>0</v>
      </c>
    </row>
    <row r="97" spans="1:5" x14ac:dyDescent="0.2">
      <c r="A97" s="345" t="str">
        <f>'[1]Beschr-Descr.'!A34</f>
        <v>Permessi goduti</v>
      </c>
      <c r="C97" s="345">
        <f>'[1]Beschr-Descr.'!C34</f>
        <v>0</v>
      </c>
      <c r="D97" s="345">
        <f>'[1]Beschr-Descr.'!D34</f>
        <v>0</v>
      </c>
      <c r="E97" s="207">
        <f>'[1]Beschr-Descr.'!E34</f>
        <v>0</v>
      </c>
    </row>
    <row r="98" spans="1:5" x14ac:dyDescent="0.2">
      <c r="A98" s="345" t="str">
        <f>'[1]Beschr-Descr.'!A35</f>
        <v>Ferie non godute</v>
      </c>
      <c r="C98" s="345">
        <f>'[1]Beschr-Descr.'!C35</f>
        <v>0</v>
      </c>
      <c r="D98" s="345">
        <f>'[1]Beschr-Descr.'!D35</f>
        <v>0</v>
      </c>
      <c r="E98" s="207">
        <f>'[1]Beschr-Descr.'!E35</f>
        <v>0</v>
      </c>
    </row>
    <row r="99" spans="1:5" x14ac:dyDescent="0.2">
      <c r="A99" s="345" t="str">
        <f>'[1]Beschr-Descr.'!A36</f>
        <v>Ferie non godute</v>
      </c>
      <c r="C99" s="345">
        <f>'[1]Beschr-Descr.'!C36</f>
        <v>0</v>
      </c>
      <c r="D99" s="345">
        <f>'[1]Beschr-Descr.'!D36</f>
        <v>0</v>
      </c>
      <c r="E99" s="207">
        <f>'[1]Beschr-Descr.'!E36</f>
        <v>0</v>
      </c>
    </row>
    <row r="100" spans="1:5" x14ac:dyDescent="0.2">
      <c r="A100" s="345" t="str">
        <f>'[1]Beschr-Descr.'!A37</f>
        <v>Festività non godute</v>
      </c>
      <c r="C100" s="345">
        <f>'[1]Beschr-Descr.'!C37</f>
        <v>0</v>
      </c>
      <c r="D100" s="345">
        <f>'[1]Beschr-Descr.'!D37</f>
        <v>0</v>
      </c>
      <c r="E100" s="207">
        <f>'[1]Beschr-Descr.'!E37</f>
        <v>0</v>
      </c>
    </row>
    <row r="101" spans="1:5" x14ac:dyDescent="0.2">
      <c r="A101" s="345" t="str">
        <f>'[1]Beschr-Descr.'!A38</f>
        <v>Indennità rischio cassa</v>
      </c>
      <c r="C101" s="345">
        <f>'[1]Beschr-Descr.'!C38</f>
        <v>0</v>
      </c>
      <c r="D101" s="345">
        <f>'[1]Beschr-Descr.'!D38</f>
        <v>0</v>
      </c>
      <c r="E101" s="207">
        <f>'[1]Beschr-Descr.'!E38</f>
        <v>0</v>
      </c>
    </row>
    <row r="102" spans="1:5" x14ac:dyDescent="0.2">
      <c r="A102" s="345">
        <f>'[1]Beschr-Descr.'!A39</f>
        <v>0</v>
      </c>
      <c r="C102" s="345">
        <f>'[1]Beschr-Descr.'!C39</f>
        <v>0</v>
      </c>
      <c r="D102" s="345">
        <f>'[1]Beschr-Descr.'!D39</f>
        <v>0</v>
      </c>
      <c r="E102" s="207">
        <f>'[1]Beschr-Descr.'!E39</f>
        <v>0</v>
      </c>
    </row>
    <row r="103" spans="1:5" x14ac:dyDescent="0.2">
      <c r="A103" s="345" t="str">
        <f>'[1]Beschr-Descr.'!A40</f>
        <v>Ore straordinarie 15%</v>
      </c>
      <c r="C103" s="345">
        <f>'[1]Beschr-Descr.'!C40</f>
        <v>0</v>
      </c>
      <c r="D103" s="345">
        <f>'[1]Beschr-Descr.'!D40</f>
        <v>0</v>
      </c>
      <c r="E103" s="207">
        <f>'[1]Beschr-Descr.'!E40</f>
        <v>0.15</v>
      </c>
    </row>
    <row r="104" spans="1:5" x14ac:dyDescent="0.2">
      <c r="A104" s="345" t="str">
        <f>'[1]Beschr-Descr.'!A41</f>
        <v>Ore straordinarie 20%</v>
      </c>
      <c r="C104" s="345">
        <f>'[1]Beschr-Descr.'!C41</f>
        <v>0</v>
      </c>
      <c r="D104" s="345">
        <f>'[1]Beschr-Descr.'!D41</f>
        <v>0</v>
      </c>
      <c r="E104" s="207">
        <f>'[1]Beschr-Descr.'!E41</f>
        <v>0.2</v>
      </c>
    </row>
    <row r="105" spans="1:5" x14ac:dyDescent="0.2">
      <c r="A105" s="345" t="str">
        <f>'[1]Beschr-Descr.'!A42</f>
        <v>Ore straordinarie 30%</v>
      </c>
      <c r="C105" s="345">
        <f>'[1]Beschr-Descr.'!C42</f>
        <v>0</v>
      </c>
      <c r="D105" s="345">
        <f>'[1]Beschr-Descr.'!D42</f>
        <v>0</v>
      </c>
      <c r="E105" s="207">
        <f>'[1]Beschr-Descr.'!E42</f>
        <v>0.3</v>
      </c>
    </row>
    <row r="106" spans="1:5" x14ac:dyDescent="0.2">
      <c r="A106" s="345" t="str">
        <f>'[1]Beschr-Descr.'!A43</f>
        <v>Ore straordinarie 50%</v>
      </c>
      <c r="C106" s="345">
        <f>'[1]Beschr-Descr.'!C43</f>
        <v>0</v>
      </c>
      <c r="D106" s="345">
        <f>'[1]Beschr-Descr.'!D43</f>
        <v>0</v>
      </c>
      <c r="E106" s="207">
        <f>'[1]Beschr-Descr.'!E43</f>
        <v>0.5</v>
      </c>
    </row>
    <row r="107" spans="1:5" x14ac:dyDescent="0.2">
      <c r="A107" s="345" t="str">
        <f>'[1]Beschr-Descr.'!A44</f>
        <v>Ore notturne 50%</v>
      </c>
      <c r="C107" s="345">
        <f>'[1]Beschr-Descr.'!C44</f>
        <v>0</v>
      </c>
      <c r="D107" s="345">
        <f>'[1]Beschr-Descr.'!D44</f>
        <v>0</v>
      </c>
      <c r="E107" s="207">
        <f>'[1]Beschr-Descr.'!E44</f>
        <v>0.5</v>
      </c>
    </row>
    <row r="108" spans="1:5" x14ac:dyDescent="0.2">
      <c r="A108" s="345">
        <f>'[1]Beschr-Descr.'!A45</f>
        <v>0</v>
      </c>
      <c r="C108" s="345">
        <f>'[1]Beschr-Descr.'!C45</f>
        <v>0</v>
      </c>
      <c r="D108" s="345">
        <f>'[1]Beschr-Descr.'!D45</f>
        <v>0</v>
      </c>
      <c r="E108" s="207">
        <f>'[1]Beschr-Descr.'!E45</f>
        <v>0</v>
      </c>
    </row>
    <row r="109" spans="1:5" x14ac:dyDescent="0.2">
      <c r="A109" s="345" t="str">
        <f>'[1]Beschr-Descr.'!A46</f>
        <v>Indennità di malattia totale</v>
      </c>
      <c r="C109" s="345">
        <f>'[1]Beschr-Descr.'!C46</f>
        <v>0</v>
      </c>
      <c r="D109" s="345">
        <f>'[1]Beschr-Descr.'!D46</f>
        <v>0</v>
      </c>
      <c r="E109" s="207">
        <f>'[1]Beschr-Descr.'!E46</f>
        <v>0</v>
      </c>
    </row>
    <row r="110" spans="1:5" x14ac:dyDescent="0.2">
      <c r="A110" s="345" t="str">
        <f>'[1]Beschr-Descr.'!A47</f>
        <v>Indennità di malattia quota INPS 50%</v>
      </c>
      <c r="C110" s="345">
        <f>'[1]Beschr-Descr.'!C47</f>
        <v>0</v>
      </c>
      <c r="D110" s="345">
        <f>'[1]Beschr-Descr.'!D47</f>
        <v>0</v>
      </c>
      <c r="E110" s="207">
        <f>'[1]Beschr-Descr.'!E47</f>
        <v>-0.5</v>
      </c>
    </row>
    <row r="111" spans="1:5" x14ac:dyDescent="0.2">
      <c r="A111" s="345" t="str">
        <f>'[1]Beschr-Descr.'!A48</f>
        <v>Indennità di malattia quota INPS 66,67%</v>
      </c>
      <c r="C111" s="345">
        <f>'[1]Beschr-Descr.'!C48</f>
        <v>0</v>
      </c>
      <c r="D111" s="345">
        <f>'[1]Beschr-Descr.'!D48</f>
        <v>0</v>
      </c>
      <c r="E111" s="207">
        <f>'[1]Beschr-Descr.'!E48</f>
        <v>-0.66669999999999996</v>
      </c>
    </row>
    <row r="112" spans="1:5" x14ac:dyDescent="0.2">
      <c r="A112" s="345" t="str">
        <f>'[1]Beschr-Descr.'!A49</f>
        <v>Indennità di maternità importo totale</v>
      </c>
      <c r="C112" s="345">
        <f>'[1]Beschr-Descr.'!C49</f>
        <v>0</v>
      </c>
      <c r="D112" s="345">
        <f>'[1]Beschr-Descr.'!D49</f>
        <v>0</v>
      </c>
      <c r="E112" s="207">
        <f>'[1]Beschr-Descr.'!E49</f>
        <v>0</v>
      </c>
    </row>
    <row r="113" spans="1:5" x14ac:dyDescent="0.2">
      <c r="A113" s="345" t="str">
        <f>'[1]Beschr-Descr.'!A50</f>
        <v>Indennità di maternità quota INPS 80,00%</v>
      </c>
      <c r="C113" s="345">
        <f>'[1]Beschr-Descr.'!C50</f>
        <v>0</v>
      </c>
      <c r="D113" s="345">
        <f>'[1]Beschr-Descr.'!D50</f>
        <v>0</v>
      </c>
      <c r="E113" s="207">
        <f>'[1]Beschr-Descr.'!E50</f>
        <v>-0.8</v>
      </c>
    </row>
    <row r="114" spans="1:5" x14ac:dyDescent="0.2">
      <c r="A114" s="345" t="str">
        <f>'[1]Beschr-Descr.'!A51</f>
        <v>Lordizzazione indennità malattia quota INPS</v>
      </c>
      <c r="C114" s="345">
        <f>'[1]Beschr-Descr.'!C51</f>
        <v>0</v>
      </c>
      <c r="D114" s="345">
        <f>'[1]Beschr-Descr.'!D51</f>
        <v>0</v>
      </c>
      <c r="E114" s="207">
        <f>'[1]Beschr-Descr.'!E51</f>
        <v>0.1012</v>
      </c>
    </row>
    <row r="115" spans="1:5" x14ac:dyDescent="0.2">
      <c r="A115" s="345">
        <f>'[1]Beschr-Descr.'!A52</f>
        <v>0</v>
      </c>
      <c r="C115" s="345">
        <f>'[1]Beschr-Descr.'!C52</f>
        <v>0</v>
      </c>
      <c r="D115" s="345">
        <f>'[1]Beschr-Descr.'!D52</f>
        <v>0</v>
      </c>
      <c r="E115" s="207">
        <f>'[1]Beschr-Descr.'!E52</f>
        <v>0</v>
      </c>
    </row>
    <row r="116" spans="1:5" x14ac:dyDescent="0.2">
      <c r="A116" s="345" t="str">
        <f>'[1]Beschr-Descr.'!A53</f>
        <v>13a mensilità</v>
      </c>
      <c r="C116" s="345">
        <f>'[1]Beschr-Descr.'!C53</f>
        <v>0</v>
      </c>
      <c r="D116" s="345">
        <f>'[1]Beschr-Descr.'!D53</f>
        <v>0</v>
      </c>
      <c r="E116" s="207">
        <f>'[1]Beschr-Descr.'!E53</f>
        <v>0</v>
      </c>
    </row>
    <row r="117" spans="1:5" x14ac:dyDescent="0.2">
      <c r="A117" s="345" t="str">
        <f>'[1]Beschr-Descr.'!A54</f>
        <v>14a mensilità</v>
      </c>
      <c r="C117" s="345">
        <f>'[1]Beschr-Descr.'!C54</f>
        <v>0</v>
      </c>
      <c r="D117" s="345">
        <f>'[1]Beschr-Descr.'!D54</f>
        <v>0</v>
      </c>
      <c r="E117" s="207">
        <f>'[1]Beschr-Descr.'!E54</f>
        <v>0</v>
      </c>
    </row>
    <row r="118" spans="1:5" x14ac:dyDescent="0.2">
      <c r="A118" s="345" t="str">
        <f>'[1]Beschr-Descr.'!A55</f>
        <v>Mancato rispetto periodo preavviso licenziamento</v>
      </c>
      <c r="C118" s="345">
        <f>'[1]Beschr-Descr.'!C55</f>
        <v>0</v>
      </c>
      <c r="D118" s="345">
        <f>'[1]Beschr-Descr.'!D55</f>
        <v>0</v>
      </c>
      <c r="E118" s="207">
        <f>'[1]Beschr-Descr.'!E55</f>
        <v>0</v>
      </c>
    </row>
    <row r="119" spans="1:5" x14ac:dyDescent="0.2">
      <c r="A119" s="345" t="str">
        <f>'[1]Beschr-Descr.'!A56</f>
        <v>Una Tantum</v>
      </c>
      <c r="C119" s="345">
        <f>'[1]Beschr-Descr.'!C56</f>
        <v>0</v>
      </c>
      <c r="D119" s="345">
        <f>'[1]Beschr-Descr.'!D56</f>
        <v>0</v>
      </c>
      <c r="E119" s="207">
        <f>'[1]Beschr-Descr.'!E56</f>
        <v>0</v>
      </c>
    </row>
    <row r="120" spans="1:5" x14ac:dyDescent="0.2">
      <c r="A120" s="345" t="str">
        <f>'[1]Beschr-Descr.'!A57</f>
        <v>Premio</v>
      </c>
      <c r="C120" s="345">
        <f>'[1]Beschr-Descr.'!C57</f>
        <v>0</v>
      </c>
      <c r="D120" s="345">
        <f>'[1]Beschr-Descr.'!D57</f>
        <v>0</v>
      </c>
      <c r="E120" s="207">
        <f>'[1]Beschr-Descr.'!E57</f>
        <v>0</v>
      </c>
    </row>
    <row r="121" spans="1:5" x14ac:dyDescent="0.2">
      <c r="A121" s="345">
        <f>'[1]Beschr-Descr.'!A58</f>
        <v>0</v>
      </c>
      <c r="C121" s="345">
        <f>'[1]Beschr-Descr.'!C58</f>
        <v>0</v>
      </c>
      <c r="D121" s="345">
        <f>'[1]Beschr-Descr.'!D58</f>
        <v>0</v>
      </c>
      <c r="E121" s="207">
        <f>'[1]Beschr-Descr.'!E58</f>
        <v>0</v>
      </c>
    </row>
    <row r="122" spans="1:5" x14ac:dyDescent="0.2">
      <c r="A122" s="345">
        <f>'[1]Beschr-Descr.'!A63</f>
        <v>0</v>
      </c>
    </row>
    <row r="123" spans="1:5" x14ac:dyDescent="0.2">
      <c r="A123" s="345">
        <f>'[1]Beschr-Descr.'!A64</f>
        <v>0</v>
      </c>
    </row>
    <row r="124" spans="1:5" x14ac:dyDescent="0.2">
      <c r="A124" s="345">
        <f>'[1]Beschr-Descr.'!A65</f>
        <v>0</v>
      </c>
    </row>
    <row r="125" spans="1:5" x14ac:dyDescent="0.2">
      <c r="A125" s="345">
        <f>'[1]Beschr-Descr.'!A66</f>
        <v>0</v>
      </c>
    </row>
    <row r="126" spans="1:5" x14ac:dyDescent="0.2">
      <c r="A126" s="345">
        <f>'[1]Beschr-Descr.'!A67</f>
        <v>0</v>
      </c>
    </row>
    <row r="127" spans="1:5" x14ac:dyDescent="0.2">
      <c r="A127" s="345">
        <f>'[1]Beschr-Descr.'!A68</f>
        <v>0</v>
      </c>
    </row>
    <row r="128" spans="1:5" x14ac:dyDescent="0.2">
      <c r="A128" s="345">
        <f>'[1]Beschr-Descr.'!A69</f>
        <v>0</v>
      </c>
    </row>
    <row r="129" spans="1:1" x14ac:dyDescent="0.2">
      <c r="A129" s="345">
        <f>'[1]Beschr-Descr.'!A70</f>
        <v>0</v>
      </c>
    </row>
    <row r="130" spans="1:1" x14ac:dyDescent="0.2">
      <c r="A130" s="345">
        <f>'[1]Beschr-Descr.'!A71</f>
        <v>0</v>
      </c>
    </row>
    <row r="131" spans="1:1" x14ac:dyDescent="0.2">
      <c r="A131" s="345">
        <f>'[1]Beschr-Descr.'!A72</f>
        <v>0</v>
      </c>
    </row>
    <row r="132" spans="1:1" x14ac:dyDescent="0.2">
      <c r="A132" s="345">
        <f>'[1]Beschr-Descr.'!A73</f>
        <v>0</v>
      </c>
    </row>
    <row r="133" spans="1:1" x14ac:dyDescent="0.2">
      <c r="A133" s="345">
        <f>'[1]Beschr-Descr.'!A74</f>
        <v>0</v>
      </c>
    </row>
    <row r="134" spans="1:1" x14ac:dyDescent="0.2">
      <c r="A134" s="345">
        <f>'[1]Beschr-Descr.'!A75</f>
        <v>0</v>
      </c>
    </row>
    <row r="135" spans="1:1" x14ac:dyDescent="0.2">
      <c r="A135" s="345">
        <f>'[1]Beschr-Descr.'!A76</f>
        <v>0</v>
      </c>
    </row>
    <row r="136" spans="1:1" x14ac:dyDescent="0.2">
      <c r="A136" s="345">
        <f>'[1]Beschr-Descr.'!A77</f>
        <v>0</v>
      </c>
    </row>
    <row r="137" spans="1:1" x14ac:dyDescent="0.2">
      <c r="A137" s="345">
        <f>'[1]Beschr-Descr.'!A78</f>
        <v>0</v>
      </c>
    </row>
    <row r="138" spans="1:1" x14ac:dyDescent="0.2">
      <c r="A138" s="345">
        <f>'[1]Beschr-Descr.'!A79</f>
        <v>0</v>
      </c>
    </row>
    <row r="139" spans="1:1" x14ac:dyDescent="0.2">
      <c r="A139" s="345">
        <f>'[1]Beschr-Descr.'!A80</f>
        <v>0</v>
      </c>
    </row>
    <row r="140" spans="1:1" x14ac:dyDescent="0.2">
      <c r="A140" s="345">
        <f>'[1]Beschr-Descr.'!A81</f>
        <v>0</v>
      </c>
    </row>
    <row r="141" spans="1:1" x14ac:dyDescent="0.2">
      <c r="A141" s="345">
        <f>'[1]Beschr-Descr.'!A82</f>
        <v>0</v>
      </c>
    </row>
    <row r="142" spans="1:1" x14ac:dyDescent="0.2">
      <c r="A142" s="345">
        <f>'[1]Beschr-Descr.'!A83</f>
        <v>0</v>
      </c>
    </row>
    <row r="143" spans="1:1" x14ac:dyDescent="0.2">
      <c r="A143" s="345">
        <f>'[1]Beschr-Descr.'!A84</f>
        <v>0</v>
      </c>
    </row>
    <row r="144" spans="1:1" x14ac:dyDescent="0.2">
      <c r="A144" s="345">
        <f>'[1]Beschr-Descr.'!A85</f>
        <v>0</v>
      </c>
    </row>
    <row r="145" spans="1:1" x14ac:dyDescent="0.2">
      <c r="A145" s="345">
        <f>'[1]Beschr-Descr.'!A86</f>
        <v>0</v>
      </c>
    </row>
    <row r="146" spans="1:1" x14ac:dyDescent="0.2">
      <c r="A146" s="345">
        <f>'[1]Beschr-Descr.'!A87</f>
        <v>0</v>
      </c>
    </row>
    <row r="147" spans="1:1" x14ac:dyDescent="0.2">
      <c r="A147" s="345">
        <f>'[1]Beschr-Descr.'!A88</f>
        <v>0</v>
      </c>
    </row>
    <row r="148" spans="1:1" x14ac:dyDescent="0.2">
      <c r="A148" s="345">
        <f>'[1]Beschr-Descr.'!A89</f>
        <v>0</v>
      </c>
    </row>
    <row r="149" spans="1:1" x14ac:dyDescent="0.2">
      <c r="A149" s="345">
        <f>'[1]Beschr-Descr.'!A90</f>
        <v>0</v>
      </c>
    </row>
    <row r="150" spans="1:1" x14ac:dyDescent="0.2">
      <c r="A150" s="345">
        <f>'[1]Beschr-Descr.'!A91</f>
        <v>0</v>
      </c>
    </row>
    <row r="151" spans="1:1" x14ac:dyDescent="0.2">
      <c r="A151" s="345">
        <f>'[1]Beschr-Descr.'!A92</f>
        <v>0</v>
      </c>
    </row>
    <row r="152" spans="1:1" x14ac:dyDescent="0.2">
      <c r="A152" s="345">
        <f>'[1]Beschr-Descr.'!A93</f>
        <v>0</v>
      </c>
    </row>
    <row r="153" spans="1:1" x14ac:dyDescent="0.2">
      <c r="A153" s="345">
        <f>'[1]Beschr-Descr.'!A94</f>
        <v>0</v>
      </c>
    </row>
    <row r="154" spans="1:1" x14ac:dyDescent="0.2">
      <c r="A154" s="345">
        <f>'[1]Beschr-Descr.'!A95</f>
        <v>0</v>
      </c>
    </row>
    <row r="155" spans="1:1" x14ac:dyDescent="0.2">
      <c r="A155" s="345">
        <f>'[1]Beschr-Descr.'!A96</f>
        <v>0</v>
      </c>
    </row>
    <row r="156" spans="1:1" x14ac:dyDescent="0.2">
      <c r="A156" s="345">
        <f>'[1]Beschr-Descr.'!A97</f>
        <v>0</v>
      </c>
    </row>
    <row r="157" spans="1:1" x14ac:dyDescent="0.2">
      <c r="A157" s="345">
        <f>'[1]Beschr-Descr.'!A98</f>
        <v>0</v>
      </c>
    </row>
    <row r="158" spans="1:1" x14ac:dyDescent="0.2">
      <c r="A158" s="345">
        <f>'[1]Beschr-Descr.'!A99</f>
        <v>0</v>
      </c>
    </row>
    <row r="159" spans="1:1" x14ac:dyDescent="0.2">
      <c r="A159" s="345">
        <f>'[1]Beschr-Descr.'!A100</f>
        <v>0</v>
      </c>
    </row>
    <row r="160" spans="1:1" x14ac:dyDescent="0.2">
      <c r="A160" s="345">
        <f>'[1]Beschr-Descr.'!A101</f>
        <v>0</v>
      </c>
    </row>
    <row r="161" spans="1:1" x14ac:dyDescent="0.2">
      <c r="A161" s="345">
        <f>'[1]Beschr-Descr.'!A102</f>
        <v>0</v>
      </c>
    </row>
  </sheetData>
  <mergeCells count="70">
    <mergeCell ref="N60:O60"/>
    <mergeCell ref="J54:O54"/>
    <mergeCell ref="J57:O57"/>
    <mergeCell ref="N55:O55"/>
    <mergeCell ref="N56:O56"/>
    <mergeCell ref="N58:O58"/>
    <mergeCell ref="N59:O59"/>
    <mergeCell ref="U53:U54"/>
    <mergeCell ref="S53:S54"/>
    <mergeCell ref="T53:T54"/>
    <mergeCell ref="E16:F16"/>
    <mergeCell ref="E52:F52"/>
    <mergeCell ref="E48:F48"/>
    <mergeCell ref="E50:F50"/>
    <mergeCell ref="Q53:R53"/>
    <mergeCell ref="S41:S43"/>
    <mergeCell ref="E18:F18"/>
    <mergeCell ref="U41:U43"/>
    <mergeCell ref="Q41:R42"/>
    <mergeCell ref="T41:T43"/>
    <mergeCell ref="E44:F44"/>
    <mergeCell ref="J52:O52"/>
    <mergeCell ref="L10:L18"/>
    <mergeCell ref="A19:C19"/>
    <mergeCell ref="A20:C20"/>
    <mergeCell ref="A24:C24"/>
    <mergeCell ref="A25:C25"/>
    <mergeCell ref="A22:C22"/>
    <mergeCell ref="A21:C21"/>
    <mergeCell ref="A23:C23"/>
    <mergeCell ref="A28:C28"/>
    <mergeCell ref="A26:C26"/>
    <mergeCell ref="E43:F43"/>
    <mergeCell ref="A27:C27"/>
    <mergeCell ref="E59:F59"/>
    <mergeCell ref="E54:F54"/>
    <mergeCell ref="E58:F58"/>
    <mergeCell ref="E56:F56"/>
    <mergeCell ref="E57:F57"/>
    <mergeCell ref="E55:F55"/>
    <mergeCell ref="Q5:S6"/>
    <mergeCell ref="Q7:S8"/>
    <mergeCell ref="K50:K51"/>
    <mergeCell ref="M50:M51"/>
    <mergeCell ref="Q10:S11"/>
    <mergeCell ref="N50:N51"/>
    <mergeCell ref="O50:O51"/>
    <mergeCell ref="L50:L51"/>
    <mergeCell ref="J1:O1"/>
    <mergeCell ref="J8:O9"/>
    <mergeCell ref="J10:J18"/>
    <mergeCell ref="K10:K18"/>
    <mergeCell ref="M10:M18"/>
    <mergeCell ref="N10:N18"/>
    <mergeCell ref="O10:O18"/>
    <mergeCell ref="E3:F3"/>
    <mergeCell ref="E7:F7"/>
    <mergeCell ref="E5:F5"/>
    <mergeCell ref="E8:F8"/>
    <mergeCell ref="E51:F51"/>
    <mergeCell ref="E9:F9"/>
    <mergeCell ref="E12:F12"/>
    <mergeCell ref="E11:F11"/>
    <mergeCell ref="E49:F49"/>
    <mergeCell ref="E45:F45"/>
    <mergeCell ref="E46:F46"/>
    <mergeCell ref="E13:F13"/>
    <mergeCell ref="E14:F14"/>
    <mergeCell ref="E47:F47"/>
    <mergeCell ref="E15:F15"/>
  </mergeCells>
  <phoneticPr fontId="2" type="noConversion"/>
  <dataValidations count="2">
    <dataValidation type="list" allowBlank="1" showInputMessage="1" showErrorMessage="1" sqref="E19:E28" xr:uid="{00000000-0002-0000-0900-000000000000}">
      <formula1>$F$67:$F$70</formula1>
    </dataValidation>
    <dataValidation type="list" allowBlank="1" showInputMessage="1" showErrorMessage="1" sqref="A19:C28" xr:uid="{00000000-0002-0000-0900-000001000000}">
      <formula1>$A$67:$A$149</formula1>
    </dataValidation>
  </dataValidations>
  <printOptions horizontalCentered="1" verticalCentered="1"/>
  <pageMargins left="0.19685039370078741" right="0.19685039370078741" top="0.39370078740157483" bottom="0.39370078740157483" header="0" footer="0.19685039370078741"/>
  <pageSetup paperSize="9" orientation="portrait" r:id="rId1"/>
  <headerFooter alignWithMargins="0">
    <oddFooter>&amp;C&amp;"Calibri,Standard"Lohnberechnung FRINO PRO 2017 von Dr. Friedrich Nöckler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1268" r:id="rId4" name="Drop Down 4">
              <controlPr defaultSize="0" print="0" autoLine="0" autoPict="0">
                <anchor moveWithCells="1">
                  <from>
                    <xdr:col>5</xdr:col>
                    <xdr:colOff>390525</xdr:colOff>
                    <xdr:row>2</xdr:row>
                    <xdr:rowOff>0</xdr:rowOff>
                  </from>
                  <to>
                    <xdr:col>8</xdr:col>
                    <xdr:colOff>533400</xdr:colOff>
                    <xdr:row>3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11"/>
  <dimension ref="A1:Z161"/>
  <sheetViews>
    <sheetView showGridLines="0" showZeros="0" zoomScaleNormal="100" workbookViewId="0"/>
  </sheetViews>
  <sheetFormatPr baseColWidth="10" defaultColWidth="11.42578125" defaultRowHeight="12.75" x14ac:dyDescent="0.2"/>
  <cols>
    <col min="1" max="1" width="11.28515625" style="345" customWidth="1"/>
    <col min="2" max="2" width="11.7109375" style="345" customWidth="1"/>
    <col min="3" max="3" width="10.85546875" style="345" customWidth="1"/>
    <col min="4" max="4" width="11.28515625" style="345" customWidth="1"/>
    <col min="5" max="5" width="5.42578125" style="345" customWidth="1"/>
    <col min="6" max="6" width="6" style="345" customWidth="1"/>
    <col min="7" max="7" width="11.140625" style="345" customWidth="1"/>
    <col min="8" max="8" width="9.85546875" style="345" customWidth="1"/>
    <col min="9" max="9" width="9.140625" style="345" customWidth="1"/>
    <col min="10" max="10" width="2.5703125" style="277" customWidth="1"/>
    <col min="11" max="15" width="2.140625" style="345" customWidth="1"/>
    <col min="16" max="16" width="2.28515625" style="345" customWidth="1"/>
    <col min="17" max="17" width="11.28515625" style="345" customWidth="1"/>
    <col min="18" max="18" width="10.7109375" style="345" customWidth="1"/>
    <col min="19" max="19" width="9" style="345" bestFit="1" customWidth="1"/>
    <col min="20" max="20" width="11.28515625" style="345" bestFit="1" customWidth="1"/>
    <col min="21" max="21" width="8.5703125" style="345" bestFit="1" customWidth="1"/>
    <col min="22" max="24" width="10.7109375" style="345" customWidth="1"/>
    <col min="25" max="16384" width="11.42578125" style="345"/>
  </cols>
  <sheetData>
    <row r="1" spans="1:26" s="144" customFormat="1" ht="16.5" customHeight="1" x14ac:dyDescent="0.2">
      <c r="A1" s="316" t="s">
        <v>106</v>
      </c>
      <c r="B1" s="317"/>
      <c r="C1" s="317"/>
      <c r="D1" s="317"/>
      <c r="E1" s="317"/>
      <c r="F1" s="317"/>
      <c r="G1" s="317"/>
      <c r="H1" s="317"/>
      <c r="I1" s="318" t="s">
        <v>47</v>
      </c>
      <c r="J1" s="473">
        <f>[1]Firma!$A$20</f>
        <v>45566</v>
      </c>
      <c r="K1" s="473"/>
      <c r="L1" s="473"/>
      <c r="M1" s="473"/>
      <c r="N1" s="473"/>
      <c r="O1" s="474"/>
      <c r="P1" s="143"/>
      <c r="Q1" s="143"/>
      <c r="R1" s="143"/>
      <c r="S1" s="143"/>
      <c r="T1" s="143"/>
      <c r="U1" s="143"/>
      <c r="V1" s="143"/>
      <c r="W1" s="143"/>
      <c r="X1" s="143"/>
      <c r="Y1" s="143"/>
      <c r="Z1" s="143"/>
    </row>
    <row r="2" spans="1:26" s="124" customFormat="1" ht="12.75" customHeight="1" x14ac:dyDescent="0.2">
      <c r="A2" s="199" t="s">
        <v>107</v>
      </c>
      <c r="B2" s="200"/>
      <c r="C2" s="200"/>
      <c r="D2" s="201"/>
      <c r="E2" s="188" t="s">
        <v>132</v>
      </c>
      <c r="F2" s="202"/>
      <c r="G2" s="200"/>
      <c r="H2" s="200"/>
      <c r="I2" s="203"/>
      <c r="J2" s="302"/>
      <c r="K2" s="201"/>
      <c r="L2" s="201"/>
      <c r="M2" s="201"/>
      <c r="N2" s="200"/>
      <c r="O2" s="303"/>
      <c r="P2" s="121"/>
      <c r="Q2" s="121"/>
      <c r="R2" s="121"/>
      <c r="S2" s="121"/>
      <c r="T2" s="121"/>
      <c r="U2" s="121"/>
      <c r="V2" s="121"/>
      <c r="W2" s="121"/>
      <c r="X2" s="121"/>
      <c r="Y2" s="121"/>
      <c r="Z2" s="121"/>
    </row>
    <row r="3" spans="1:26" ht="16.899999999999999" customHeight="1" x14ac:dyDescent="0.2">
      <c r="A3" s="88" t="s">
        <v>100</v>
      </c>
      <c r="B3" s="83" t="str">
        <f>[1]Firma!$A$4</f>
        <v>Asues GmbH</v>
      </c>
      <c r="C3" s="341"/>
      <c r="D3" s="341"/>
      <c r="E3" s="555" t="s">
        <v>126</v>
      </c>
      <c r="F3" s="556"/>
      <c r="G3" s="341" t="str">
        <f>VLOOKUP(P3,'[1]Mit-1'!$A$5:$B$19,2,FALSE)</f>
        <v>AAAAA BBBBB</v>
      </c>
      <c r="H3" s="341"/>
      <c r="I3" s="342"/>
      <c r="J3" s="304"/>
      <c r="K3" s="343"/>
      <c r="L3" s="343"/>
      <c r="M3" s="343"/>
      <c r="N3" s="343"/>
      <c r="O3" s="344"/>
      <c r="P3" s="343">
        <v>1</v>
      </c>
      <c r="Q3" s="341"/>
      <c r="R3" s="341"/>
      <c r="S3" s="341"/>
      <c r="T3" s="341"/>
      <c r="U3" s="341"/>
      <c r="V3" s="341"/>
      <c r="W3" s="341"/>
      <c r="X3" s="341"/>
      <c r="Y3" s="341"/>
      <c r="Z3" s="341"/>
    </row>
    <row r="4" spans="1:26" ht="10.5" customHeight="1" x14ac:dyDescent="0.2">
      <c r="A4" s="87" t="s">
        <v>101</v>
      </c>
      <c r="B4" s="30" t="str">
        <f>[1]Firma!$B$4</f>
        <v>Josef-Ferrari-Straße 12; 39031 Bruneck (BZ)</v>
      </c>
      <c r="C4" s="30"/>
      <c r="D4" s="30"/>
      <c r="E4" s="187" t="s">
        <v>127</v>
      </c>
      <c r="G4" s="30" t="str">
        <f>VLOOKUP($P$3,'[1]Mit-1'!$A$5:$U$19,3,FALSE)</f>
        <v>Michael-Pacher-Straße 10, 39031 Bruneck</v>
      </c>
      <c r="I4" s="344"/>
      <c r="N4" s="341"/>
      <c r="O4" s="342"/>
      <c r="P4" s="341"/>
      <c r="V4" s="341"/>
      <c r="W4" s="341"/>
      <c r="X4" s="341"/>
      <c r="Y4" s="341"/>
      <c r="Z4" s="341"/>
    </row>
    <row r="5" spans="1:26" ht="16.899999999999999" customHeight="1" x14ac:dyDescent="0.2">
      <c r="A5" s="88" t="s">
        <v>102</v>
      </c>
      <c r="B5" s="288" t="str">
        <f>[1]Firma!$C$4</f>
        <v>IT09997110213</v>
      </c>
      <c r="C5" s="30"/>
      <c r="D5" s="30"/>
      <c r="E5" s="555" t="s">
        <v>103</v>
      </c>
      <c r="F5" s="556"/>
      <c r="G5" s="30" t="str">
        <f>VLOOKUP($P$3,'[1]Mit-1'!$A$5:$U$19,6,FALSE)</f>
        <v>AAABBB84B11B220G</v>
      </c>
      <c r="I5" s="342"/>
      <c r="K5" s="341"/>
      <c r="L5" s="341"/>
      <c r="M5" s="341"/>
      <c r="N5" s="341"/>
      <c r="O5" s="342"/>
      <c r="P5" s="341"/>
      <c r="Q5" s="604" t="s">
        <v>251</v>
      </c>
      <c r="R5" s="605"/>
      <c r="S5" s="606"/>
      <c r="T5" s="341"/>
      <c r="U5" s="341"/>
      <c r="V5" s="341"/>
      <c r="W5" s="341"/>
      <c r="X5" s="341"/>
      <c r="Y5" s="341"/>
      <c r="Z5" s="341"/>
    </row>
    <row r="6" spans="1:26" ht="16.899999999999999" customHeight="1" x14ac:dyDescent="0.2">
      <c r="A6" s="88" t="s">
        <v>103</v>
      </c>
      <c r="B6" s="288" t="str">
        <f>[1]Firma!$D$4</f>
        <v>09997110213</v>
      </c>
      <c r="C6" s="30"/>
      <c r="D6" s="30"/>
      <c r="E6" s="187" t="s">
        <v>128</v>
      </c>
      <c r="G6" s="149">
        <f>VLOOKUP($P$3,'[1]Mit-1'!$A$28:$C$42,3,FALSE)</f>
        <v>1</v>
      </c>
      <c r="H6" s="89" t="s">
        <v>9</v>
      </c>
      <c r="I6" s="54">
        <f>VLOOKUP($P$3,'[1]Mit-1'!$A$5:$U$19,7,FALSE)</f>
        <v>45597</v>
      </c>
      <c r="N6" s="341"/>
      <c r="O6" s="342"/>
      <c r="P6" s="341"/>
      <c r="Q6" s="607"/>
      <c r="R6" s="608"/>
      <c r="S6" s="609"/>
      <c r="T6" s="341"/>
      <c r="U6" s="341"/>
      <c r="V6" s="341"/>
      <c r="W6" s="341"/>
      <c r="X6" s="341"/>
      <c r="Y6" s="341"/>
      <c r="Z6" s="341"/>
    </row>
    <row r="7" spans="1:26" ht="16.899999999999999" customHeight="1" x14ac:dyDescent="0.2">
      <c r="A7" s="87" t="s">
        <v>104</v>
      </c>
      <c r="B7" s="288" t="str">
        <f>[1]Firma!$E$4</f>
        <v>1420030006</v>
      </c>
      <c r="C7" s="30"/>
      <c r="D7" s="30"/>
      <c r="E7" s="555" t="s">
        <v>129</v>
      </c>
      <c r="F7" s="556"/>
      <c r="G7" s="36">
        <f>VLOOKUP($P$3,'[1]Mit-1'!$A$5:$U$19,4,FALSE)</f>
        <v>30723</v>
      </c>
      <c r="H7" s="90" t="s">
        <v>10</v>
      </c>
      <c r="I7" s="53" t="str">
        <f>VLOOKUP($P$3,'[1]Mit-1'!$A$5:$U$19,5,FALSE)</f>
        <v>Bruneck</v>
      </c>
      <c r="N7" s="341"/>
      <c r="O7" s="342"/>
      <c r="P7" s="341"/>
      <c r="Q7" s="610" t="s">
        <v>134</v>
      </c>
      <c r="R7" s="611"/>
      <c r="S7" s="612"/>
      <c r="T7" s="341"/>
      <c r="U7" s="341"/>
      <c r="V7" s="341"/>
      <c r="W7" s="341"/>
      <c r="X7" s="341"/>
      <c r="Y7" s="341"/>
      <c r="Z7" s="341"/>
    </row>
    <row r="8" spans="1:26" ht="16.899999999999999" customHeight="1" x14ac:dyDescent="0.2">
      <c r="A8" s="87" t="s">
        <v>105</v>
      </c>
      <c r="B8" s="288" t="str">
        <f>[1]Firma!$F$4</f>
        <v>13625</v>
      </c>
      <c r="C8" s="30"/>
      <c r="D8" s="30"/>
      <c r="E8" s="555" t="s">
        <v>130</v>
      </c>
      <c r="F8" s="556"/>
      <c r="G8" s="149">
        <f>VLOOKUP($P$3,'[1]Mit-2'!$A$5:$P$19,13,FALSE)</f>
        <v>2</v>
      </c>
      <c r="H8" s="91" t="s">
        <v>231</v>
      </c>
      <c r="I8" s="150">
        <f>VLOOKUP($P$3,'[1]Mit-2'!$A$46:$AD$60,27,FALSE)</f>
        <v>0</v>
      </c>
      <c r="J8" s="475" t="s">
        <v>226</v>
      </c>
      <c r="K8" s="476"/>
      <c r="L8" s="476"/>
      <c r="M8" s="476"/>
      <c r="N8" s="476"/>
      <c r="O8" s="477"/>
      <c r="P8" s="341"/>
      <c r="Q8" s="610"/>
      <c r="R8" s="611"/>
      <c r="S8" s="612"/>
      <c r="T8" s="341"/>
      <c r="U8" s="341"/>
      <c r="V8" s="341"/>
      <c r="W8" s="341"/>
      <c r="X8" s="341"/>
      <c r="Y8" s="341"/>
      <c r="Z8" s="341"/>
    </row>
    <row r="9" spans="1:26" ht="16.899999999999999" customHeight="1" x14ac:dyDescent="0.2">
      <c r="A9" s="346"/>
      <c r="B9" s="343"/>
      <c r="C9" s="343"/>
      <c r="D9" s="343"/>
      <c r="E9" s="555" t="s">
        <v>131</v>
      </c>
      <c r="F9" s="556"/>
      <c r="G9" s="447">
        <f>VLOOKUP($P$3,'[1]Mit-2'!$A$5:$AD$19,27,FALSE)</f>
        <v>100</v>
      </c>
      <c r="H9" s="90" t="s">
        <v>232</v>
      </c>
      <c r="I9" s="429"/>
      <c r="J9" s="478"/>
      <c r="K9" s="479"/>
      <c r="L9" s="479"/>
      <c r="M9" s="479"/>
      <c r="N9" s="479"/>
      <c r="O9" s="480"/>
      <c r="P9" s="341"/>
      <c r="Q9" s="347"/>
      <c r="R9" s="431"/>
      <c r="S9" s="342"/>
      <c r="T9" s="348">
        <f>[1]Firma!$B$20</f>
        <v>31</v>
      </c>
      <c r="U9" s="341"/>
      <c r="V9" s="341"/>
      <c r="W9" s="341"/>
      <c r="X9" s="341"/>
      <c r="Y9" s="341"/>
      <c r="Z9" s="341"/>
    </row>
    <row r="10" spans="1:26" ht="10.9" customHeight="1" x14ac:dyDescent="0.2">
      <c r="A10" s="189" t="s">
        <v>108</v>
      </c>
      <c r="B10" s="349"/>
      <c r="C10" s="349"/>
      <c r="D10" s="349"/>
      <c r="E10" s="349"/>
      <c r="F10" s="349"/>
      <c r="G10" s="349"/>
      <c r="H10" s="349"/>
      <c r="I10" s="350"/>
      <c r="J10" s="481" t="s">
        <v>227</v>
      </c>
      <c r="K10" s="484" t="s">
        <v>228</v>
      </c>
      <c r="L10" s="487" t="s">
        <v>229</v>
      </c>
      <c r="M10" s="487" t="s">
        <v>264</v>
      </c>
      <c r="N10" s="487" t="s">
        <v>265</v>
      </c>
      <c r="O10" s="557" t="s">
        <v>266</v>
      </c>
      <c r="P10" s="341"/>
      <c r="Q10" s="538" t="s">
        <v>207</v>
      </c>
      <c r="R10" s="539"/>
      <c r="S10" s="540"/>
      <c r="T10" s="341"/>
      <c r="U10" s="341"/>
      <c r="V10" s="341"/>
      <c r="W10" s="341"/>
      <c r="X10" s="341"/>
      <c r="Y10" s="341"/>
      <c r="Z10" s="341"/>
    </row>
    <row r="11" spans="1:26" s="94" customFormat="1" ht="13.9" customHeight="1" x14ac:dyDescent="0.15">
      <c r="A11" s="181" t="s">
        <v>16</v>
      </c>
      <c r="B11" s="182" t="s">
        <v>11</v>
      </c>
      <c r="C11" s="182" t="s">
        <v>12</v>
      </c>
      <c r="D11" s="182" t="s">
        <v>13</v>
      </c>
      <c r="E11" s="544" t="s">
        <v>14</v>
      </c>
      <c r="F11" s="545"/>
      <c r="G11" s="182" t="s">
        <v>15</v>
      </c>
      <c r="H11" s="183" t="s">
        <v>218</v>
      </c>
      <c r="I11" s="186"/>
      <c r="J11" s="482"/>
      <c r="K11" s="485"/>
      <c r="L11" s="488"/>
      <c r="M11" s="488"/>
      <c r="N11" s="488"/>
      <c r="O11" s="558"/>
      <c r="P11" s="93"/>
      <c r="Q11" s="541"/>
      <c r="R11" s="542"/>
      <c r="S11" s="543"/>
      <c r="T11" s="93"/>
      <c r="U11" s="93"/>
      <c r="V11" s="93"/>
      <c r="W11" s="93"/>
      <c r="X11" s="93"/>
      <c r="Y11" s="93"/>
      <c r="Z11" s="93"/>
    </row>
    <row r="12" spans="1:26" x14ac:dyDescent="0.2">
      <c r="A12" s="351">
        <f>VLOOKUP($G$8,'[1]Lohntab-Tab-retr.'!$A$7:$O$15,12,FALSE)</f>
        <v>1477.83</v>
      </c>
      <c r="B12" s="352">
        <f>VLOOKUP($G$8,'[1]Lohntab-Tab-retr.'!$A$21:$O$29,12,FALSE)</f>
        <v>532.54</v>
      </c>
      <c r="C12" s="352">
        <f>I8*VLOOKUP($G$8,'[1]Lohntab-Tab-retr.'!$A$63:$O$71,12,FALSE)</f>
        <v>0</v>
      </c>
      <c r="D12" s="352">
        <f>VLOOKUP($G$8,'[1]Lohntab-Tab-retr.'!$A$35:$O$43,12,FALSE)</f>
        <v>0</v>
      </c>
      <c r="E12" s="602">
        <f>VLOOKUP($G$8,'[1]Lohntab-Tab-retr.'!$A$49:$O$57,12,FALSE)</f>
        <v>8</v>
      </c>
      <c r="F12" s="602"/>
      <c r="G12" s="352">
        <f>VLOOKUP($P$3,'[1]Mit-2'!$A$24:$P$38,13,FALSE)</f>
        <v>0</v>
      </c>
      <c r="H12" s="352">
        <f>VLOOKUP($G$8,'[1]Lohntab-Tab-retr.'!$A$77:$O$85,12,FALSE)</f>
        <v>0</v>
      </c>
      <c r="I12" s="353"/>
      <c r="J12" s="482"/>
      <c r="K12" s="485"/>
      <c r="L12" s="488"/>
      <c r="M12" s="488"/>
      <c r="N12" s="488"/>
      <c r="O12" s="558"/>
      <c r="P12" s="341"/>
      <c r="Q12" s="341"/>
      <c r="R12" s="341"/>
      <c r="S12" s="341"/>
      <c r="T12" s="341"/>
      <c r="U12" s="341"/>
      <c r="V12" s="341"/>
      <c r="W12" s="341"/>
      <c r="X12" s="341"/>
      <c r="Y12" s="341"/>
      <c r="Z12" s="341"/>
    </row>
    <row r="13" spans="1:26" s="94" customFormat="1" ht="13.9" customHeight="1" x14ac:dyDescent="0.15">
      <c r="A13" s="168" t="s">
        <v>17</v>
      </c>
      <c r="B13" s="169" t="s">
        <v>18</v>
      </c>
      <c r="C13" s="169" t="s">
        <v>19</v>
      </c>
      <c r="D13" s="169" t="s">
        <v>20</v>
      </c>
      <c r="E13" s="561" t="s">
        <v>24</v>
      </c>
      <c r="F13" s="562"/>
      <c r="G13" s="169" t="s">
        <v>23</v>
      </c>
      <c r="H13" s="170" t="s">
        <v>21</v>
      </c>
      <c r="I13" s="177" t="s">
        <v>22</v>
      </c>
      <c r="J13" s="482"/>
      <c r="K13" s="485"/>
      <c r="L13" s="488"/>
      <c r="M13" s="488"/>
      <c r="N13" s="488"/>
      <c r="O13" s="558"/>
      <c r="P13" s="93"/>
      <c r="Q13" s="93"/>
      <c r="R13" s="93"/>
      <c r="S13" s="93"/>
      <c r="T13" s="93"/>
      <c r="U13" s="93"/>
      <c r="V13" s="93"/>
      <c r="W13" s="93"/>
      <c r="X13" s="93"/>
      <c r="Y13" s="93"/>
      <c r="Z13" s="93"/>
    </row>
    <row r="14" spans="1:26" x14ac:dyDescent="0.2">
      <c r="A14" s="354">
        <f>[1]Tab!G140</f>
        <v>168</v>
      </c>
      <c r="B14" s="355">
        <f>[1]Tab!G141</f>
        <v>26</v>
      </c>
      <c r="C14" s="313">
        <f>ROUND(I14/A14,5)</f>
        <v>12.014110000000001</v>
      </c>
      <c r="D14" s="313">
        <f>ROUND(I14/B14,5)</f>
        <v>77.629620000000003</v>
      </c>
      <c r="E14" s="603">
        <f>COUNT(K19:K49)</f>
        <v>0</v>
      </c>
      <c r="F14" s="603"/>
      <c r="G14" s="355">
        <f>K50</f>
        <v>0</v>
      </c>
      <c r="H14" s="355">
        <v>26</v>
      </c>
      <c r="I14" s="180">
        <f>SUM(A12:I12)</f>
        <v>2018.37</v>
      </c>
      <c r="J14" s="482"/>
      <c r="K14" s="485"/>
      <c r="L14" s="488"/>
      <c r="M14" s="488"/>
      <c r="N14" s="488"/>
      <c r="O14" s="558"/>
      <c r="P14" s="356"/>
      <c r="Q14" s="356"/>
      <c r="R14" s="356"/>
      <c r="S14" s="356"/>
      <c r="T14" s="356"/>
      <c r="U14" s="356"/>
      <c r="V14" s="356"/>
      <c r="W14" s="356"/>
      <c r="X14" s="356"/>
      <c r="Y14" s="356"/>
      <c r="Z14" s="356"/>
    </row>
    <row r="15" spans="1:26" s="94" customFormat="1" ht="13.9" customHeight="1" x14ac:dyDescent="0.15">
      <c r="A15" s="174" t="s">
        <v>26</v>
      </c>
      <c r="B15" s="175" t="s">
        <v>27</v>
      </c>
      <c r="C15" s="175" t="s">
        <v>25</v>
      </c>
      <c r="D15" s="175" t="s">
        <v>259</v>
      </c>
      <c r="E15" s="564" t="s">
        <v>260</v>
      </c>
      <c r="F15" s="565"/>
      <c r="G15" s="175" t="s">
        <v>261</v>
      </c>
      <c r="H15" s="146"/>
      <c r="I15" s="176"/>
      <c r="J15" s="482"/>
      <c r="K15" s="485"/>
      <c r="L15" s="488"/>
      <c r="M15" s="488"/>
      <c r="N15" s="488"/>
      <c r="O15" s="558"/>
      <c r="P15" s="93"/>
      <c r="Q15" s="93"/>
      <c r="R15" s="93"/>
      <c r="S15" s="93"/>
      <c r="T15" s="93"/>
      <c r="U15" s="93"/>
      <c r="V15" s="93"/>
      <c r="W15" s="93"/>
      <c r="X15" s="93"/>
      <c r="Y15" s="93"/>
      <c r="Z15" s="93"/>
    </row>
    <row r="16" spans="1:26" x14ac:dyDescent="0.2">
      <c r="A16" s="440">
        <f>'09'!A16+(VLOOKUP($P$3,'[1]Mit-2'!$A$90:$P$104,13,FALSE))*G9%</f>
        <v>0</v>
      </c>
      <c r="B16" s="438">
        <f>M50</f>
        <v>0</v>
      </c>
      <c r="C16" s="438">
        <f>A16-B16</f>
        <v>0</v>
      </c>
      <c r="D16" s="438">
        <f>'09'!D16+(VLOOKUP($P$3,'[1]Mit-2'!$A$90:$AD$104,27,FALSE))*G9%</f>
        <v>0</v>
      </c>
      <c r="E16" s="537">
        <f>N50</f>
        <v>0</v>
      </c>
      <c r="F16" s="537"/>
      <c r="G16" s="438">
        <f>D16-E16</f>
        <v>0</v>
      </c>
      <c r="H16" s="147"/>
      <c r="I16" s="185"/>
      <c r="J16" s="482"/>
      <c r="K16" s="485"/>
      <c r="L16" s="488"/>
      <c r="M16" s="488"/>
      <c r="N16" s="488"/>
      <c r="O16" s="558"/>
      <c r="P16" s="356"/>
      <c r="Q16" s="356"/>
      <c r="R16" s="356"/>
      <c r="S16" s="356"/>
      <c r="T16" s="356"/>
      <c r="U16" s="356"/>
      <c r="V16" s="356"/>
      <c r="W16" s="356"/>
      <c r="X16" s="356"/>
      <c r="Y16" s="356"/>
      <c r="Z16" s="356"/>
    </row>
    <row r="17" spans="1:26" ht="3.75" customHeight="1" x14ac:dyDescent="0.2">
      <c r="A17" s="357"/>
      <c r="B17" s="358"/>
      <c r="C17" s="358"/>
      <c r="D17" s="358"/>
      <c r="E17" s="358"/>
      <c r="F17" s="358"/>
      <c r="G17" s="358"/>
      <c r="H17" s="358"/>
      <c r="I17" s="359"/>
      <c r="J17" s="482"/>
      <c r="K17" s="485"/>
      <c r="L17" s="488"/>
      <c r="M17" s="488"/>
      <c r="N17" s="488"/>
      <c r="O17" s="558"/>
      <c r="P17" s="341"/>
      <c r="Q17" s="341"/>
      <c r="R17" s="341"/>
      <c r="S17" s="341"/>
      <c r="T17" s="341"/>
      <c r="U17" s="341"/>
      <c r="V17" s="341"/>
      <c r="W17" s="341"/>
      <c r="X17" s="341"/>
      <c r="Y17" s="341"/>
      <c r="Z17" s="341"/>
    </row>
    <row r="18" spans="1:26" s="92" customFormat="1" ht="16.899999999999999" customHeight="1" x14ac:dyDescent="0.15">
      <c r="A18" s="162" t="s">
        <v>28</v>
      </c>
      <c r="B18" s="163"/>
      <c r="C18" s="163"/>
      <c r="D18" s="96"/>
      <c r="E18" s="535" t="s">
        <v>29</v>
      </c>
      <c r="F18" s="536"/>
      <c r="G18" s="99" t="s">
        <v>31</v>
      </c>
      <c r="H18" s="86" t="s">
        <v>30</v>
      </c>
      <c r="I18" s="100" t="s">
        <v>233</v>
      </c>
      <c r="J18" s="483"/>
      <c r="K18" s="486"/>
      <c r="L18" s="489"/>
      <c r="M18" s="489"/>
      <c r="N18" s="489"/>
      <c r="O18" s="559"/>
      <c r="P18" s="97"/>
      <c r="V18" s="98"/>
      <c r="W18" s="98"/>
      <c r="X18" s="98"/>
      <c r="Y18" s="97"/>
      <c r="Z18" s="97"/>
    </row>
    <row r="19" spans="1:26" ht="12" customHeight="1" x14ac:dyDescent="0.2">
      <c r="A19" s="631"/>
      <c r="B19" s="632"/>
      <c r="C19" s="632"/>
      <c r="D19" s="427"/>
      <c r="E19" s="428"/>
      <c r="F19" s="426"/>
      <c r="G19" s="360">
        <f>VLOOKUP(A19,A66:F121,5,FALSE)</f>
        <v>0</v>
      </c>
      <c r="H19" s="325">
        <f>IF(E19="",0,IF(A19="",0,IF(E19="Std-ore",ROUND(C$14+C$14*G19,5),IF(E19="Tage-gg.",ROUND(D$14+D$14*G19,5),IF(E19="Monat-mese",ROUND($I$14+$I$14*G19,2))))))</f>
        <v>0</v>
      </c>
      <c r="I19" s="151">
        <f>ROUND(H19*F19,2)</f>
        <v>0</v>
      </c>
      <c r="J19" s="305">
        <v>1</v>
      </c>
      <c r="K19" s="409"/>
      <c r="L19" s="410"/>
      <c r="M19" s="410"/>
      <c r="N19" s="410"/>
      <c r="O19" s="411"/>
      <c r="P19" s="6"/>
      <c r="V19" s="341"/>
      <c r="W19" s="341"/>
      <c r="X19" s="341"/>
      <c r="Y19" s="7"/>
      <c r="Z19" s="6"/>
    </row>
    <row r="20" spans="1:26" ht="12" customHeight="1" x14ac:dyDescent="0.2">
      <c r="A20" s="625"/>
      <c r="B20" s="626"/>
      <c r="C20" s="626"/>
      <c r="D20" s="427"/>
      <c r="E20" s="428"/>
      <c r="F20" s="426"/>
      <c r="G20" s="360">
        <f>VLOOKUP(A20,A67:F122,5,FALSE)</f>
        <v>0</v>
      </c>
      <c r="H20" s="325">
        <f t="shared" ref="H20:H28" si="0">IF(E20="",0,IF(A20="",0,IF(E20="Std-ore",ROUND(C$14+C$14*G20,5),IF(E20="Tage-gg.",ROUND(D$14+D$14*G20,5),IF(E20="Monat-mese",ROUND($I$14+$I$14*G20,2))))))</f>
        <v>0</v>
      </c>
      <c r="I20" s="152">
        <f t="shared" ref="I20:I28" si="1">IF(A20="Abzug Bruttoberechnung Krankengeld INPS",ROUND(I19*G20,2),ROUND(H20*F20,2))</f>
        <v>0</v>
      </c>
      <c r="J20" s="306">
        <v>2</v>
      </c>
      <c r="K20" s="412"/>
      <c r="L20" s="413"/>
      <c r="M20" s="413"/>
      <c r="N20" s="413"/>
      <c r="O20" s="414"/>
      <c r="P20" s="6"/>
      <c r="V20" s="28"/>
      <c r="W20" s="6"/>
    </row>
    <row r="21" spans="1:26" ht="12" customHeight="1" x14ac:dyDescent="0.2">
      <c r="A21" s="625"/>
      <c r="B21" s="626"/>
      <c r="C21" s="626"/>
      <c r="D21" s="427"/>
      <c r="E21" s="428"/>
      <c r="F21" s="426"/>
      <c r="G21" s="360">
        <f>VLOOKUP(A21,A66:F121,5,FALSE)</f>
        <v>0</v>
      </c>
      <c r="H21" s="325">
        <f t="shared" si="0"/>
        <v>0</v>
      </c>
      <c r="I21" s="152">
        <f t="shared" si="1"/>
        <v>0</v>
      </c>
      <c r="J21" s="306">
        <v>3</v>
      </c>
      <c r="K21" s="412"/>
      <c r="L21" s="413"/>
      <c r="M21" s="413"/>
      <c r="N21" s="413"/>
      <c r="O21" s="414"/>
      <c r="P21" s="6"/>
      <c r="V21" s="28"/>
      <c r="W21" s="6"/>
    </row>
    <row r="22" spans="1:26" ht="12" customHeight="1" x14ac:dyDescent="0.2">
      <c r="A22" s="625"/>
      <c r="B22" s="626"/>
      <c r="C22" s="626"/>
      <c r="D22" s="427"/>
      <c r="E22" s="428"/>
      <c r="F22" s="426"/>
      <c r="G22" s="360">
        <f>VLOOKUP(A22,A67:F122,5,FALSE)</f>
        <v>0</v>
      </c>
      <c r="H22" s="325">
        <f>IF(E22="",0,IF(A22="",0,IF(E22="Std-ore",ROUND(C$14+C$14*G22,5),IF(E22="Tage-gg.",ROUND(D$14+D$14*G22,5),IF(E22="Monat-mese",ROUND($I$14+$I$14*G22,2))))))</f>
        <v>0</v>
      </c>
      <c r="I22" s="152">
        <f t="shared" si="1"/>
        <v>0</v>
      </c>
      <c r="J22" s="306">
        <v>4</v>
      </c>
      <c r="K22" s="412"/>
      <c r="L22" s="413"/>
      <c r="M22" s="413"/>
      <c r="N22" s="413"/>
      <c r="O22" s="414"/>
      <c r="P22" s="6"/>
      <c r="V22" s="28"/>
      <c r="W22" s="6"/>
    </row>
    <row r="23" spans="1:26" ht="12" customHeight="1" x14ac:dyDescent="0.2">
      <c r="A23" s="625"/>
      <c r="B23" s="626"/>
      <c r="C23" s="626"/>
      <c r="D23" s="427"/>
      <c r="E23" s="428"/>
      <c r="F23" s="426"/>
      <c r="G23" s="360">
        <f t="shared" ref="G23:G28" si="2">VLOOKUP(A23,A67:F122,5,FALSE)</f>
        <v>0</v>
      </c>
      <c r="H23" s="325">
        <f>IF(E23="",0,IF(A23="",0,IF(E23="Std-ore",ROUND(C$14+C$14*G23,5),IF(E23="Tage-gg.",ROUND(D$14+D$14*G23,5),IF(E23="Monat-mese",ROUND($I$14+$I$14*G23,2))))))</f>
        <v>0</v>
      </c>
      <c r="I23" s="152">
        <f t="shared" si="1"/>
        <v>0</v>
      </c>
      <c r="J23" s="306">
        <v>5</v>
      </c>
      <c r="K23" s="412"/>
      <c r="L23" s="413"/>
      <c r="M23" s="413"/>
      <c r="N23" s="413"/>
      <c r="O23" s="414"/>
      <c r="P23" s="6"/>
      <c r="V23" s="28"/>
      <c r="W23" s="6"/>
    </row>
    <row r="24" spans="1:26" ht="12" customHeight="1" x14ac:dyDescent="0.2">
      <c r="A24" s="625"/>
      <c r="B24" s="626"/>
      <c r="C24" s="626"/>
      <c r="D24" s="427"/>
      <c r="E24" s="428"/>
      <c r="F24" s="426"/>
      <c r="G24" s="360">
        <f t="shared" si="2"/>
        <v>0</v>
      </c>
      <c r="H24" s="325">
        <f t="shared" si="0"/>
        <v>0</v>
      </c>
      <c r="I24" s="152">
        <f t="shared" si="1"/>
        <v>0</v>
      </c>
      <c r="J24" s="306">
        <v>6</v>
      </c>
      <c r="K24" s="412"/>
      <c r="L24" s="413"/>
      <c r="M24" s="413"/>
      <c r="N24" s="413"/>
      <c r="O24" s="414"/>
      <c r="P24" s="6"/>
      <c r="V24" s="28"/>
      <c r="W24" s="6"/>
    </row>
    <row r="25" spans="1:26" ht="12" customHeight="1" x14ac:dyDescent="0.2">
      <c r="A25" s="625"/>
      <c r="B25" s="626"/>
      <c r="C25" s="626"/>
      <c r="D25" s="427"/>
      <c r="E25" s="428"/>
      <c r="F25" s="426"/>
      <c r="G25" s="360">
        <f t="shared" si="2"/>
        <v>0</v>
      </c>
      <c r="H25" s="325">
        <f t="shared" si="0"/>
        <v>0</v>
      </c>
      <c r="I25" s="152">
        <f t="shared" si="1"/>
        <v>0</v>
      </c>
      <c r="J25" s="306">
        <v>7</v>
      </c>
      <c r="K25" s="412"/>
      <c r="L25" s="413"/>
      <c r="M25" s="413"/>
      <c r="N25" s="413"/>
      <c r="O25" s="414"/>
      <c r="P25" s="6"/>
      <c r="W25" s="6"/>
    </row>
    <row r="26" spans="1:26" ht="12" customHeight="1" x14ac:dyDescent="0.2">
      <c r="A26" s="613"/>
      <c r="B26" s="614"/>
      <c r="C26" s="614"/>
      <c r="D26" s="425"/>
      <c r="E26" s="421"/>
      <c r="F26" s="426"/>
      <c r="G26" s="360">
        <f t="shared" si="2"/>
        <v>0</v>
      </c>
      <c r="H26" s="325">
        <f t="shared" si="0"/>
        <v>0</v>
      </c>
      <c r="I26" s="152">
        <f t="shared" si="1"/>
        <v>0</v>
      </c>
      <c r="J26" s="306">
        <v>8</v>
      </c>
      <c r="K26" s="412"/>
      <c r="L26" s="413"/>
      <c r="M26" s="413"/>
      <c r="N26" s="413"/>
      <c r="O26" s="414"/>
      <c r="P26" s="6"/>
      <c r="W26" s="6"/>
    </row>
    <row r="27" spans="1:26" ht="12" customHeight="1" x14ac:dyDescent="0.2">
      <c r="A27" s="613"/>
      <c r="B27" s="614"/>
      <c r="C27" s="614"/>
      <c r="D27" s="425"/>
      <c r="E27" s="421"/>
      <c r="F27" s="426"/>
      <c r="G27" s="360">
        <f t="shared" si="2"/>
        <v>0</v>
      </c>
      <c r="H27" s="325">
        <f t="shared" si="0"/>
        <v>0</v>
      </c>
      <c r="I27" s="152">
        <f t="shared" si="1"/>
        <v>0</v>
      </c>
      <c r="J27" s="306">
        <v>9</v>
      </c>
      <c r="K27" s="412"/>
      <c r="L27" s="413"/>
      <c r="M27" s="413"/>
      <c r="N27" s="413"/>
      <c r="O27" s="414"/>
      <c r="P27" s="6"/>
    </row>
    <row r="28" spans="1:26" ht="12" customHeight="1" x14ac:dyDescent="0.2">
      <c r="A28" s="613"/>
      <c r="B28" s="614"/>
      <c r="C28" s="614"/>
      <c r="D28" s="425"/>
      <c r="E28" s="421"/>
      <c r="F28" s="426"/>
      <c r="G28" s="360">
        <f t="shared" si="2"/>
        <v>0</v>
      </c>
      <c r="H28" s="325">
        <f t="shared" si="0"/>
        <v>0</v>
      </c>
      <c r="I28" s="152">
        <f t="shared" si="1"/>
        <v>0</v>
      </c>
      <c r="J28" s="306">
        <v>10</v>
      </c>
      <c r="K28" s="412"/>
      <c r="L28" s="413"/>
      <c r="M28" s="413"/>
      <c r="N28" s="413"/>
      <c r="O28" s="414"/>
      <c r="P28" s="6"/>
    </row>
    <row r="29" spans="1:26" ht="12" customHeight="1" x14ac:dyDescent="0.2">
      <c r="A29" s="119" t="s">
        <v>109</v>
      </c>
      <c r="B29" s="57"/>
      <c r="C29" s="57"/>
      <c r="D29" s="57"/>
      <c r="E29" s="57"/>
      <c r="F29" s="58"/>
      <c r="G29" s="57"/>
      <c r="H29" s="57"/>
      <c r="I29" s="154">
        <f>SUM(I19:I28)</f>
        <v>0</v>
      </c>
      <c r="J29" s="306">
        <v>11</v>
      </c>
      <c r="K29" s="412"/>
      <c r="L29" s="413"/>
      <c r="M29" s="413"/>
      <c r="N29" s="415"/>
      <c r="O29" s="416"/>
      <c r="P29" s="9"/>
    </row>
    <row r="30" spans="1:26" ht="12" customHeight="1" x14ac:dyDescent="0.2">
      <c r="A30" s="211" t="s">
        <v>236</v>
      </c>
      <c r="B30" s="361"/>
      <c r="C30" s="362"/>
      <c r="D30" s="362"/>
      <c r="E30" s="362"/>
      <c r="F30" s="102" t="s">
        <v>55</v>
      </c>
      <c r="G30" s="326">
        <f>ROUND(I29,0)</f>
        <v>0</v>
      </c>
      <c r="H30" s="314">
        <f>'[1]Mit-1'!$C$21</f>
        <v>9.1899999999999996E-2</v>
      </c>
      <c r="I30" s="151">
        <f>-ROUND(G30*H30,2)</f>
        <v>0</v>
      </c>
      <c r="J30" s="306">
        <v>12</v>
      </c>
      <c r="K30" s="412"/>
      <c r="L30" s="413"/>
      <c r="M30" s="413"/>
      <c r="N30" s="413"/>
      <c r="O30" s="414"/>
      <c r="P30" s="341"/>
      <c r="Z30" s="341"/>
    </row>
    <row r="31" spans="1:26" ht="12" customHeight="1" x14ac:dyDescent="0.2">
      <c r="A31" s="104" t="s">
        <v>237</v>
      </c>
      <c r="B31" s="363"/>
      <c r="C31" s="364"/>
      <c r="D31" s="364"/>
      <c r="E31" s="364"/>
      <c r="F31" s="103" t="s">
        <v>55</v>
      </c>
      <c r="G31" s="327">
        <f>ROUND(I29,2)</f>
        <v>0</v>
      </c>
      <c r="H31" s="315">
        <f>VLOOKUP($P$3,'[1]Mit-1'!$A$5:$U$19,19,FALSE)</f>
        <v>1.23E-2</v>
      </c>
      <c r="I31" s="152">
        <f>-ROUND(G31*H31,2)</f>
        <v>0</v>
      </c>
      <c r="J31" s="306">
        <v>13</v>
      </c>
      <c r="K31" s="412"/>
      <c r="L31" s="413"/>
      <c r="M31" s="413"/>
      <c r="N31" s="413"/>
      <c r="O31" s="414"/>
      <c r="P31" s="341"/>
      <c r="Z31" s="341"/>
    </row>
    <row r="32" spans="1:26" ht="12" customHeight="1" x14ac:dyDescent="0.2">
      <c r="A32" s="104" t="s">
        <v>234</v>
      </c>
      <c r="B32" s="363"/>
      <c r="C32" s="364"/>
      <c r="D32" s="364"/>
      <c r="E32" s="364"/>
      <c r="F32" s="103" t="s">
        <v>55</v>
      </c>
      <c r="G32" s="327">
        <f>IF(I29=0,0,IF(R9&gt;0,SUM(A12:B12)/T9*R9,SUM(A12:B12)))</f>
        <v>0</v>
      </c>
      <c r="H32" s="315">
        <f>'[1]Mit-1'!$I$21</f>
        <v>1E-3</v>
      </c>
      <c r="I32" s="152">
        <f>-ROUND(G32*H32,2)</f>
        <v>0</v>
      </c>
      <c r="J32" s="306">
        <v>14</v>
      </c>
      <c r="K32" s="412"/>
      <c r="L32" s="413"/>
      <c r="M32" s="413"/>
      <c r="N32" s="413"/>
      <c r="O32" s="414"/>
      <c r="P32" s="341"/>
      <c r="Z32" s="341"/>
    </row>
    <row r="33" spans="1:26" ht="12" customHeight="1" x14ac:dyDescent="0.2">
      <c r="A33" s="104" t="s">
        <v>235</v>
      </c>
      <c r="B33" s="363"/>
      <c r="C33" s="364"/>
      <c r="D33" s="364"/>
      <c r="E33" s="364"/>
      <c r="F33" s="103" t="s">
        <v>55</v>
      </c>
      <c r="G33" s="327">
        <f>G30</f>
        <v>0</v>
      </c>
      <c r="H33" s="315">
        <f>'[1]Mit-1'!$I$23</f>
        <v>4.0000000000000001E-3</v>
      </c>
      <c r="I33" s="152">
        <f>-ROUND(G33*H33,2)</f>
        <v>0</v>
      </c>
      <c r="J33" s="306">
        <v>15</v>
      </c>
      <c r="K33" s="412"/>
      <c r="L33" s="413"/>
      <c r="M33" s="413"/>
      <c r="N33" s="413"/>
      <c r="O33" s="414"/>
      <c r="P33" s="341"/>
      <c r="Z33" s="341"/>
    </row>
    <row r="34" spans="1:26" ht="12" customHeight="1" x14ac:dyDescent="0.2">
      <c r="A34" s="104" t="s">
        <v>258</v>
      </c>
      <c r="B34" s="363"/>
      <c r="C34" s="364"/>
      <c r="D34" s="364"/>
      <c r="E34" s="364"/>
      <c r="F34" s="394"/>
      <c r="G34" s="365"/>
      <c r="H34" s="396"/>
      <c r="I34" s="152">
        <f>-IF(I29=0,0,'[1]Mit-1'!$I$25)</f>
        <v>0</v>
      </c>
      <c r="J34" s="306">
        <v>16</v>
      </c>
      <c r="K34" s="412"/>
      <c r="L34" s="413"/>
      <c r="M34" s="413"/>
      <c r="N34" s="413"/>
      <c r="O34" s="414"/>
      <c r="P34" s="341"/>
      <c r="Z34" s="341"/>
    </row>
    <row r="35" spans="1:26" ht="12" customHeight="1" x14ac:dyDescent="0.2">
      <c r="A35" s="104" t="s">
        <v>110</v>
      </c>
      <c r="B35" s="10"/>
      <c r="C35" s="10"/>
      <c r="D35" s="10"/>
      <c r="E35" s="10"/>
      <c r="F35" s="10"/>
      <c r="G35" s="11"/>
      <c r="H35" s="63"/>
      <c r="I35" s="152">
        <f ca="1">-SUMIF($A$19:$C$28,"Krankheit INPS-Anteil*",$I$19:$I$28)</f>
        <v>0</v>
      </c>
      <c r="J35" s="306">
        <v>17</v>
      </c>
      <c r="K35" s="412"/>
      <c r="L35" s="413"/>
      <c r="M35" s="413"/>
      <c r="N35" s="413"/>
      <c r="O35" s="414"/>
      <c r="P35" s="6"/>
      <c r="Y35" s="6"/>
      <c r="Z35" s="6"/>
    </row>
    <row r="36" spans="1:26" ht="12" customHeight="1" x14ac:dyDescent="0.2">
      <c r="A36" s="104" t="s">
        <v>111</v>
      </c>
      <c r="B36" s="10"/>
      <c r="C36" s="10"/>
      <c r="D36" s="10"/>
      <c r="E36" s="10"/>
      <c r="F36" s="10"/>
      <c r="G36" s="11"/>
      <c r="H36" s="63"/>
      <c r="I36" s="152">
        <f ca="1">-SUMIF($A$19:$C$28,"Mutterschaft INPS-Anteil*",$I$19:$I$28)</f>
        <v>0</v>
      </c>
      <c r="J36" s="306">
        <v>18</v>
      </c>
      <c r="K36" s="412"/>
      <c r="L36" s="413"/>
      <c r="M36" s="413"/>
      <c r="N36" s="413"/>
      <c r="O36" s="414"/>
      <c r="P36" s="6"/>
      <c r="Y36" s="6"/>
      <c r="Z36" s="6"/>
    </row>
    <row r="37" spans="1:26" ht="12" customHeight="1" x14ac:dyDescent="0.2">
      <c r="A37" s="105" t="s">
        <v>112</v>
      </c>
      <c r="B37" s="10"/>
      <c r="C37" s="10"/>
      <c r="D37" s="10"/>
      <c r="E37" s="10"/>
      <c r="F37" s="10"/>
      <c r="G37" s="11"/>
      <c r="H37" s="365">
        <f>ROUND(IF(I29=0,0,VLOOKUP($P$3,'[1]Mit-1'!$A$5:$AD$19,12,FALSE)),2)</f>
        <v>0</v>
      </c>
      <c r="I37" s="439"/>
      <c r="J37" s="306">
        <v>19</v>
      </c>
      <c r="K37" s="412"/>
      <c r="L37" s="413"/>
      <c r="M37" s="413"/>
      <c r="N37" s="413"/>
      <c r="O37" s="414"/>
      <c r="P37" s="6"/>
      <c r="Y37" s="6"/>
      <c r="Z37" s="6"/>
    </row>
    <row r="38" spans="1:26" ht="12" customHeight="1" x14ac:dyDescent="0.2">
      <c r="A38" s="107" t="s">
        <v>113</v>
      </c>
      <c r="B38" s="10"/>
      <c r="C38" s="10"/>
      <c r="D38" s="10"/>
      <c r="E38" s="10"/>
      <c r="F38" s="10"/>
      <c r="G38" s="11"/>
      <c r="H38" s="322">
        <f ca="1">IF(SUM(I29:I37)-H37&lt;0,0,SUM(I29:I36)-H37)</f>
        <v>0</v>
      </c>
      <c r="I38" s="160"/>
      <c r="J38" s="306">
        <v>20</v>
      </c>
      <c r="K38" s="412"/>
      <c r="L38" s="413"/>
      <c r="M38" s="413"/>
      <c r="N38" s="413"/>
      <c r="O38" s="414"/>
      <c r="P38" s="6"/>
      <c r="Y38" s="6"/>
      <c r="Z38" s="6"/>
    </row>
    <row r="39" spans="1:26" ht="12" customHeight="1" x14ac:dyDescent="0.2">
      <c r="A39" s="211" t="s">
        <v>143</v>
      </c>
      <c r="B39" s="14"/>
      <c r="C39" s="14"/>
      <c r="D39" s="14"/>
      <c r="E39" s="14"/>
      <c r="F39" s="14"/>
      <c r="G39" s="14"/>
      <c r="H39" s="323">
        <f ca="1">-U50</f>
        <v>0</v>
      </c>
      <c r="I39" s="159"/>
      <c r="J39" s="306">
        <v>21</v>
      </c>
      <c r="K39" s="412"/>
      <c r="L39" s="413"/>
      <c r="M39" s="413"/>
      <c r="N39" s="413"/>
      <c r="O39" s="414"/>
      <c r="P39" s="6"/>
      <c r="R39" s="216"/>
      <c r="V39" s="6"/>
      <c r="W39" s="6"/>
      <c r="X39" s="6"/>
      <c r="Y39" s="6"/>
      <c r="Z39" s="6"/>
    </row>
    <row r="40" spans="1:26" ht="12" customHeight="1" x14ac:dyDescent="0.2">
      <c r="A40" s="104" t="s">
        <v>144</v>
      </c>
      <c r="B40" s="10"/>
      <c r="C40" s="10"/>
      <c r="D40" s="10"/>
      <c r="E40" s="10"/>
      <c r="F40" s="10"/>
      <c r="G40" s="10"/>
      <c r="H40" s="324">
        <f>ROUND(IF(I29=0,0,VLOOKUP($P$3,'[1]Mit-1'!$A$5:$AB$19,13,FALSE)/[1]Firma!$B$24*IF(R9=0,T9,R9)),2)</f>
        <v>0</v>
      </c>
      <c r="I40" s="156"/>
      <c r="J40" s="306">
        <v>22</v>
      </c>
      <c r="K40" s="412"/>
      <c r="L40" s="413"/>
      <c r="M40" s="413"/>
      <c r="N40" s="413"/>
      <c r="O40" s="414"/>
      <c r="P40" s="6"/>
      <c r="Q40" s="220"/>
      <c r="R40" s="216"/>
      <c r="S40" s="217"/>
      <c r="T40" s="218"/>
      <c r="U40" s="219"/>
      <c r="V40" s="6"/>
      <c r="W40" s="6"/>
      <c r="X40" s="6"/>
      <c r="Y40" s="6"/>
      <c r="Z40" s="6"/>
    </row>
    <row r="41" spans="1:26" ht="12" customHeight="1" x14ac:dyDescent="0.2">
      <c r="A41" s="110" t="s">
        <v>145</v>
      </c>
      <c r="B41" s="221"/>
      <c r="C41" s="221"/>
      <c r="D41" s="221"/>
      <c r="E41" s="221"/>
      <c r="F41" s="221"/>
      <c r="G41" s="221"/>
      <c r="H41" s="324">
        <f>ROUND(IF(I29=0,0,VLOOKUP($P$3,'[1]Mit-2'!$A$46:$P$60,3,FALSE)/12),2)</f>
        <v>0</v>
      </c>
      <c r="I41" s="286"/>
      <c r="J41" s="306">
        <v>23</v>
      </c>
      <c r="K41" s="412"/>
      <c r="L41" s="413"/>
      <c r="M41" s="413"/>
      <c r="N41" s="413"/>
      <c r="O41" s="414"/>
      <c r="P41" s="6"/>
      <c r="Q41" s="492" t="s">
        <v>4</v>
      </c>
      <c r="R41" s="493"/>
      <c r="S41" s="494" t="s">
        <v>7</v>
      </c>
      <c r="T41" s="498" t="s">
        <v>5</v>
      </c>
      <c r="U41" s="490" t="s">
        <v>2</v>
      </c>
      <c r="V41" s="6"/>
      <c r="W41" s="6"/>
      <c r="X41" s="6"/>
      <c r="Y41" s="6"/>
      <c r="Z41" s="6"/>
    </row>
    <row r="42" spans="1:26" ht="12" customHeight="1" x14ac:dyDescent="0.2">
      <c r="A42" s="108" t="s">
        <v>146</v>
      </c>
      <c r="B42" s="64"/>
      <c r="C42" s="64"/>
      <c r="D42" s="64"/>
      <c r="E42" s="64"/>
      <c r="F42" s="64"/>
      <c r="G42" s="64"/>
      <c r="H42" s="65"/>
      <c r="I42" s="157">
        <f ca="1">IF(SUM(H39:H41)&gt;=0,0,SUM(H39:H41))</f>
        <v>0</v>
      </c>
      <c r="J42" s="306">
        <v>24</v>
      </c>
      <c r="K42" s="412"/>
      <c r="L42" s="413"/>
      <c r="M42" s="413"/>
      <c r="N42" s="413"/>
      <c r="O42" s="414"/>
      <c r="P42" s="6"/>
      <c r="Q42" s="529"/>
      <c r="R42" s="530"/>
      <c r="S42" s="532"/>
      <c r="T42" s="531"/>
      <c r="U42" s="528"/>
      <c r="V42" s="6"/>
      <c r="W42" s="6"/>
      <c r="X42" s="6"/>
      <c r="Y42" s="6"/>
      <c r="Z42" s="6"/>
    </row>
    <row r="43" spans="1:26" ht="12" customHeight="1" x14ac:dyDescent="0.2">
      <c r="A43" s="106" t="s">
        <v>141</v>
      </c>
      <c r="B43" s="366"/>
      <c r="C43" s="10"/>
      <c r="D43" s="213"/>
      <c r="E43" s="574"/>
      <c r="F43" s="575"/>
      <c r="G43" s="214"/>
      <c r="H43" s="215" t="s">
        <v>33</v>
      </c>
      <c r="I43" s="151"/>
      <c r="J43" s="306">
        <v>25</v>
      </c>
      <c r="K43" s="412"/>
      <c r="L43" s="413"/>
      <c r="M43" s="413"/>
      <c r="N43" s="413"/>
      <c r="O43" s="414"/>
      <c r="P43" s="6"/>
      <c r="Q43" s="81" t="s">
        <v>0</v>
      </c>
      <c r="R43" s="82" t="s">
        <v>1</v>
      </c>
      <c r="S43" s="495"/>
      <c r="T43" s="499"/>
      <c r="U43" s="491"/>
      <c r="V43" s="6"/>
      <c r="W43" s="6"/>
      <c r="X43" s="6"/>
      <c r="Y43" s="6"/>
      <c r="Z43" s="6"/>
    </row>
    <row r="44" spans="1:26" ht="12" customHeight="1" x14ac:dyDescent="0.2">
      <c r="A44" s="104" t="s">
        <v>114</v>
      </c>
      <c r="B44" s="15"/>
      <c r="C44" s="367"/>
      <c r="D44" s="368"/>
      <c r="E44" s="629"/>
      <c r="F44" s="630"/>
      <c r="G44" s="369"/>
      <c r="H44" s="408"/>
      <c r="I44" s="158">
        <f>-H44</f>
        <v>0</v>
      </c>
      <c r="J44" s="306">
        <v>26</v>
      </c>
      <c r="K44" s="412"/>
      <c r="L44" s="413"/>
      <c r="M44" s="413"/>
      <c r="N44" s="413"/>
      <c r="O44" s="414"/>
      <c r="P44" s="6"/>
      <c r="Q44" s="370">
        <f>[1]Tab!E8</f>
        <v>0</v>
      </c>
      <c r="R44" s="371">
        <f>[1]Tab!F8</f>
        <v>1250</v>
      </c>
      <c r="S44" s="372">
        <f>[1]Tab!G8</f>
        <v>0.23</v>
      </c>
      <c r="T44" s="373">
        <f>ROUND(R44*S44,2)</f>
        <v>287.5</v>
      </c>
      <c r="U44" s="373">
        <f ca="1">ROUND(IF(AND($H$38&lt;=R44,$H$38&gt;0),$H$38*S44,0),2)</f>
        <v>0</v>
      </c>
      <c r="V44" s="6"/>
      <c r="W44" s="6"/>
      <c r="X44" s="6"/>
      <c r="Y44" s="6"/>
      <c r="Z44" s="6"/>
    </row>
    <row r="45" spans="1:26" s="341" customFormat="1" ht="12" customHeight="1" x14ac:dyDescent="0.2">
      <c r="A45" s="110" t="s">
        <v>115</v>
      </c>
      <c r="B45" s="18"/>
      <c r="C45" s="111" t="s">
        <v>254</v>
      </c>
      <c r="D45" s="374">
        <v>11</v>
      </c>
      <c r="E45" s="600"/>
      <c r="F45" s="601"/>
      <c r="G45" s="375"/>
      <c r="H45" s="328">
        <f>IF(I29=0,0,VLOOKUP($P$3,'[1]Mit-2'!$A$65:$P$79,13,FALSE))</f>
        <v>0</v>
      </c>
      <c r="I45" s="155">
        <f>IF($I$9="",ROUND(IF($I$29=0,0,-H45/D45),2),-Steuern!J54)</f>
        <v>0</v>
      </c>
      <c r="J45" s="306">
        <v>27</v>
      </c>
      <c r="K45" s="412"/>
      <c r="L45" s="413"/>
      <c r="M45" s="413"/>
      <c r="N45" s="413"/>
      <c r="O45" s="414"/>
      <c r="P45" s="6"/>
      <c r="Q45" s="370">
        <f>[1]Tab!E9</f>
        <v>1250.01</v>
      </c>
      <c r="R45" s="371">
        <f>[1]Tab!F9</f>
        <v>2333.33</v>
      </c>
      <c r="S45" s="372">
        <f>[1]Tab!G9</f>
        <v>0.23</v>
      </c>
      <c r="T45" s="373">
        <f>ROUND((R45-Q45)*S45+T44,2)</f>
        <v>536.66</v>
      </c>
      <c r="U45" s="373">
        <f ca="1">ROUND(IF(AND($H$38&lt;=R45,$H$38&gt;=Q45),T44+($H$38-R44)*S45,0),2)</f>
        <v>0</v>
      </c>
      <c r="V45" s="6"/>
      <c r="W45" s="6"/>
      <c r="X45" s="6"/>
      <c r="Y45" s="6"/>
      <c r="Z45" s="6"/>
    </row>
    <row r="46" spans="1:26" ht="12" customHeight="1" x14ac:dyDescent="0.2">
      <c r="A46" s="101" t="s">
        <v>142</v>
      </c>
      <c r="B46" s="376"/>
      <c r="C46" s="14"/>
      <c r="D46" s="12"/>
      <c r="E46" s="580"/>
      <c r="F46" s="581"/>
      <c r="G46" s="112"/>
      <c r="H46" s="113" t="s">
        <v>33</v>
      </c>
      <c r="I46" s="151"/>
      <c r="J46" s="306">
        <v>28</v>
      </c>
      <c r="K46" s="412"/>
      <c r="L46" s="413"/>
      <c r="M46" s="413"/>
      <c r="N46" s="413"/>
      <c r="O46" s="414"/>
      <c r="P46" s="6"/>
      <c r="Q46" s="370">
        <f>[1]Tab!E10</f>
        <v>2333.34</v>
      </c>
      <c r="R46" s="371">
        <f>[1]Tab!F10</f>
        <v>4166.67</v>
      </c>
      <c r="S46" s="372">
        <f>[1]Tab!G10</f>
        <v>0.35</v>
      </c>
      <c r="T46" s="373">
        <f>ROUND((R46-Q46)*S46+T45,2)</f>
        <v>1178.33</v>
      </c>
      <c r="U46" s="373">
        <f ca="1">ROUND(IF(AND($H$38&lt;=R46,$H$38&gt;=Q46),T45+($H$38-R45)*S46,0),2)</f>
        <v>0</v>
      </c>
      <c r="V46" s="6"/>
      <c r="W46" s="6"/>
      <c r="X46" s="6"/>
      <c r="Y46" s="6"/>
      <c r="Z46" s="6"/>
    </row>
    <row r="47" spans="1:26" ht="12" customHeight="1" x14ac:dyDescent="0.2">
      <c r="A47" s="104" t="s">
        <v>114</v>
      </c>
      <c r="B47" s="15"/>
      <c r="C47" s="367"/>
      <c r="D47" s="368"/>
      <c r="E47" s="600"/>
      <c r="F47" s="601"/>
      <c r="G47" s="369"/>
      <c r="H47" s="408"/>
      <c r="I47" s="152">
        <f>-H47</f>
        <v>0</v>
      </c>
      <c r="J47" s="306">
        <v>29</v>
      </c>
      <c r="K47" s="412"/>
      <c r="L47" s="413"/>
      <c r="M47" s="413"/>
      <c r="N47" s="413"/>
      <c r="O47" s="414"/>
      <c r="P47" s="341"/>
      <c r="Q47" s="370">
        <f>[1]Tab!E11</f>
        <v>4166.68</v>
      </c>
      <c r="R47" s="371">
        <f>[1]Tab!F11</f>
        <v>0</v>
      </c>
      <c r="S47" s="372">
        <f>[1]Tab!G11</f>
        <v>0.43</v>
      </c>
      <c r="T47" s="373"/>
      <c r="U47" s="373">
        <f ca="1">ROUND(IF(AND($H$38&lt;=R47,$H$38&gt;=Q47),T46+($H$38-R46)*S47,0),2)</f>
        <v>0</v>
      </c>
      <c r="V47" s="341"/>
      <c r="W47" s="341"/>
      <c r="X47" s="341"/>
      <c r="Y47" s="341"/>
      <c r="Z47" s="341"/>
    </row>
    <row r="48" spans="1:26" ht="12" customHeight="1" x14ac:dyDescent="0.2">
      <c r="A48" s="224" t="s">
        <v>115</v>
      </c>
      <c r="B48" s="225"/>
      <c r="C48" s="226" t="s">
        <v>255</v>
      </c>
      <c r="D48" s="377">
        <v>11</v>
      </c>
      <c r="E48" s="627"/>
      <c r="F48" s="628"/>
      <c r="G48" s="378"/>
      <c r="H48" s="340">
        <f>IF(I29=0,0,VLOOKUP($P$3,'[1]Mit-2'!$A$65:$AD$79,27,FALSE))</f>
        <v>0</v>
      </c>
      <c r="I48" s="155">
        <f>IF($I$9="",ROUND(IF($I$29=0,0,-H48/D48),2),-Steuern!N54)</f>
        <v>0</v>
      </c>
      <c r="J48" s="306">
        <v>30</v>
      </c>
      <c r="K48" s="412"/>
      <c r="L48" s="413"/>
      <c r="M48" s="413"/>
      <c r="N48" s="413"/>
      <c r="O48" s="414"/>
      <c r="P48" s="341"/>
      <c r="Q48" s="370">
        <f>[1]Tab!E12</f>
        <v>0</v>
      </c>
      <c r="R48" s="371"/>
      <c r="S48" s="372">
        <f>[1]Tab!G12</f>
        <v>0</v>
      </c>
      <c r="T48" s="379"/>
      <c r="U48" s="373">
        <f ca="1">ROUND(IF($H$38&gt;R47,T47+($H$38-R47)*S48,0),2)</f>
        <v>0</v>
      </c>
      <c r="V48" s="341"/>
      <c r="W48" s="341"/>
      <c r="X48" s="341"/>
      <c r="Y48" s="341"/>
      <c r="Z48" s="341"/>
    </row>
    <row r="49" spans="1:26" ht="12" customHeight="1" x14ac:dyDescent="0.2">
      <c r="A49" s="110" t="s">
        <v>147</v>
      </c>
      <c r="B49" s="231">
        <v>0.3</v>
      </c>
      <c r="C49" s="232">
        <f>H48</f>
        <v>0</v>
      </c>
      <c r="D49" s="233">
        <f>ROUND(C49*B49,2)</f>
        <v>0</v>
      </c>
      <c r="E49" s="598"/>
      <c r="F49" s="599"/>
      <c r="G49" s="234" t="s">
        <v>249</v>
      </c>
      <c r="H49" s="235">
        <v>9</v>
      </c>
      <c r="I49" s="393">
        <f>IF($I$9="",ROUND(IF($I$29=0,0,-D49/H49),2),-Steuern!R55)</f>
        <v>0</v>
      </c>
      <c r="J49" s="310">
        <v>31</v>
      </c>
      <c r="K49" s="412"/>
      <c r="L49" s="413"/>
      <c r="M49" s="413"/>
      <c r="N49" s="413"/>
      <c r="O49" s="414"/>
      <c r="P49" s="341"/>
      <c r="Q49" s="370">
        <f>[1]Tab!E13</f>
        <v>0</v>
      </c>
      <c r="R49" s="371"/>
      <c r="S49" s="372">
        <f>[1]Tab!G13</f>
        <v>0</v>
      </c>
      <c r="T49" s="379"/>
      <c r="U49" s="373">
        <f ca="1">ROUND(IF($H$38&gt;R48,T48+($H$38-R48)*S49,0),2)</f>
        <v>0</v>
      </c>
      <c r="V49" s="341"/>
      <c r="W49" s="341"/>
      <c r="X49" s="341"/>
      <c r="Y49" s="341"/>
      <c r="Z49" s="341"/>
    </row>
    <row r="50" spans="1:26" ht="12" customHeight="1" x14ac:dyDescent="0.2">
      <c r="A50" s="109" t="s">
        <v>139</v>
      </c>
      <c r="B50" s="380"/>
      <c r="C50" s="114" t="s">
        <v>34</v>
      </c>
      <c r="D50" s="114" t="s">
        <v>160</v>
      </c>
      <c r="E50" s="509" t="s">
        <v>161</v>
      </c>
      <c r="F50" s="510"/>
      <c r="G50" s="114" t="s">
        <v>162</v>
      </c>
      <c r="H50" s="230" t="s">
        <v>36</v>
      </c>
      <c r="I50" s="156"/>
      <c r="J50" s="311"/>
      <c r="K50" s="500">
        <f>SUM(K19:K49)</f>
        <v>0</v>
      </c>
      <c r="L50" s="496">
        <f>SUM(L19:L49)</f>
        <v>0</v>
      </c>
      <c r="M50" s="496">
        <f>SUM(M19:M49)</f>
        <v>0</v>
      </c>
      <c r="N50" s="496">
        <f>SUM(N19:N49)</f>
        <v>0</v>
      </c>
      <c r="O50" s="502">
        <f>SUM(O19:O49)</f>
        <v>0</v>
      </c>
      <c r="P50" s="6"/>
      <c r="Q50" s="381" t="s">
        <v>8</v>
      </c>
      <c r="R50" s="382"/>
      <c r="S50" s="79"/>
      <c r="T50" s="64"/>
      <c r="U50" s="80">
        <f ca="1">ROUND(SUM(U44:U47),2)</f>
        <v>0</v>
      </c>
      <c r="V50" s="6"/>
      <c r="W50" s="6"/>
      <c r="X50" s="6"/>
      <c r="Y50" s="6"/>
      <c r="Z50" s="6"/>
    </row>
    <row r="51" spans="1:26" ht="12" customHeight="1" x14ac:dyDescent="0.2">
      <c r="A51" s="104" t="s">
        <v>117</v>
      </c>
      <c r="B51" s="383"/>
      <c r="C51" s="327">
        <f>IF(I29=0,0,Steuern!J86)</f>
        <v>0</v>
      </c>
      <c r="D51" s="327">
        <f>IF(I29=0,0,Steuern!L86)</f>
        <v>0</v>
      </c>
      <c r="E51" s="600">
        <f>IF(I29=0,0,Steuern!N86)</f>
        <v>0</v>
      </c>
      <c r="F51" s="601"/>
      <c r="G51" s="327">
        <f>IF(I29=0,0,Steuern!P86)</f>
        <v>0</v>
      </c>
      <c r="H51" s="384">
        <f>IF(I29=0,0,Steuern!R86)</f>
        <v>0</v>
      </c>
      <c r="I51" s="156"/>
      <c r="J51" s="309"/>
      <c r="K51" s="501"/>
      <c r="L51" s="497"/>
      <c r="M51" s="497"/>
      <c r="N51" s="497"/>
      <c r="O51" s="503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</row>
    <row r="52" spans="1:26" ht="12" customHeight="1" x14ac:dyDescent="0.2">
      <c r="A52" s="110" t="s">
        <v>138</v>
      </c>
      <c r="B52" s="385"/>
      <c r="C52" s="386">
        <f>IF($I$9="",0,Steuern!J89)</f>
        <v>0</v>
      </c>
      <c r="D52" s="386">
        <f>U60</f>
        <v>0</v>
      </c>
      <c r="E52" s="620">
        <f>IF($I$9="",0,conguaglio!F60)</f>
        <v>0</v>
      </c>
      <c r="F52" s="621"/>
      <c r="G52" s="387">
        <f>IF($I$9="",0,conguaglio!G63)</f>
        <v>0</v>
      </c>
      <c r="H52" s="312">
        <f>IF((D52-E52-G52)&lt;0,0,D52-E52-G52)</f>
        <v>0</v>
      </c>
      <c r="I52" s="153">
        <f>IF($I$9="",0,H51-H52)</f>
        <v>0</v>
      </c>
      <c r="J52" s="504" t="s">
        <v>230</v>
      </c>
      <c r="K52" s="505"/>
      <c r="L52" s="505"/>
      <c r="M52" s="505"/>
      <c r="N52" s="505"/>
      <c r="O52" s="506"/>
      <c r="P52" s="6"/>
      <c r="Q52" s="6"/>
      <c r="R52" s="6"/>
      <c r="S52" s="6"/>
      <c r="T52" s="66"/>
      <c r="U52" s="6"/>
      <c r="V52" s="6"/>
      <c r="W52" s="6"/>
      <c r="X52" s="6"/>
      <c r="Y52" s="6"/>
      <c r="Z52" s="6"/>
    </row>
    <row r="53" spans="1:26" ht="12" customHeight="1" x14ac:dyDescent="0.2">
      <c r="A53" s="119" t="s">
        <v>119</v>
      </c>
      <c r="B53" s="349"/>
      <c r="C53" s="349"/>
      <c r="D53" s="349"/>
      <c r="E53" s="349"/>
      <c r="F53" s="349"/>
      <c r="G53" s="349"/>
      <c r="H53" s="349"/>
      <c r="I53" s="154">
        <f ca="1">SUM(I29:I52)</f>
        <v>0</v>
      </c>
      <c r="J53" s="307"/>
      <c r="O53" s="344"/>
      <c r="P53" s="30"/>
      <c r="Q53" s="492" t="s">
        <v>6</v>
      </c>
      <c r="R53" s="493"/>
      <c r="S53" s="494" t="s">
        <v>7</v>
      </c>
      <c r="T53" s="498" t="s">
        <v>5</v>
      </c>
      <c r="U53" s="490" t="s">
        <v>2</v>
      </c>
      <c r="V53" s="30"/>
      <c r="W53" s="30"/>
      <c r="X53" s="30"/>
      <c r="Y53" s="30"/>
      <c r="Z53" s="30"/>
    </row>
    <row r="54" spans="1:26" ht="12" customHeight="1" x14ac:dyDescent="0.2">
      <c r="A54" s="115" t="s">
        <v>120</v>
      </c>
      <c r="B54" s="95" t="s">
        <v>124</v>
      </c>
      <c r="C54" s="388">
        <f>IF($I$9="",0,VLOOKUP($P$3,'[1]Mit-1'!$A$5:$AD$19,22,FALSE))</f>
        <v>0</v>
      </c>
      <c r="D54" s="95" t="s">
        <v>38</v>
      </c>
      <c r="E54" s="617">
        <f>ROUND(IF($I$9="",0,Steuern!$D$89/13.5),2)</f>
        <v>0</v>
      </c>
      <c r="F54" s="618"/>
      <c r="G54" s="95" t="s">
        <v>40</v>
      </c>
      <c r="H54" s="389">
        <f>IF($I$9="",0,Steuern!$F$89)</f>
        <v>0</v>
      </c>
      <c r="I54" s="398">
        <f>C54+E54-H54</f>
        <v>0</v>
      </c>
      <c r="J54" s="568"/>
      <c r="K54" s="476"/>
      <c r="L54" s="476"/>
      <c r="M54" s="476"/>
      <c r="N54" s="476"/>
      <c r="O54" s="477"/>
      <c r="Q54" s="81" t="s">
        <v>0</v>
      </c>
      <c r="R54" s="82" t="s">
        <v>1</v>
      </c>
      <c r="S54" s="495"/>
      <c r="T54" s="499"/>
      <c r="U54" s="491"/>
      <c r="V54" s="341"/>
      <c r="W54" s="341"/>
      <c r="X54" s="341"/>
    </row>
    <row r="55" spans="1:26" ht="15" customHeight="1" x14ac:dyDescent="0.2">
      <c r="A55" s="116" t="s">
        <v>121</v>
      </c>
      <c r="B55" s="117" t="s">
        <v>37</v>
      </c>
      <c r="C55" s="406"/>
      <c r="D55" s="117" t="s">
        <v>39</v>
      </c>
      <c r="E55" s="623"/>
      <c r="F55" s="624"/>
      <c r="G55" s="117" t="s">
        <v>35</v>
      </c>
      <c r="H55" s="408"/>
      <c r="I55" s="399">
        <f>-(E55-H55)</f>
        <v>0</v>
      </c>
      <c r="J55" s="402"/>
      <c r="K55" s="401"/>
      <c r="L55" s="401"/>
      <c r="M55" s="401"/>
      <c r="N55" s="572"/>
      <c r="O55" s="573"/>
      <c r="Q55" s="370">
        <f>[1]Tab!A8</f>
        <v>0</v>
      </c>
      <c r="R55" s="371">
        <f>[1]Tab!D8</f>
        <v>15000</v>
      </c>
      <c r="S55" s="372">
        <f>S44</f>
        <v>0.23</v>
      </c>
      <c r="T55" s="373">
        <f>ROUND(R55*S55,2)</f>
        <v>3450</v>
      </c>
      <c r="U55" s="373">
        <f>ROUND(IF(AND($C$52&lt;=R55,C52&gt;0),$C$52*S55,0),2)</f>
        <v>0</v>
      </c>
      <c r="V55" s="341"/>
      <c r="W55" s="341"/>
      <c r="X55" s="341"/>
    </row>
    <row r="56" spans="1:26" ht="16.899999999999999" customHeight="1" x14ac:dyDescent="0.2">
      <c r="A56" s="453" t="s">
        <v>122</v>
      </c>
      <c r="B56" s="118" t="s">
        <v>125</v>
      </c>
      <c r="C56" s="463">
        <f>ROUND(C54*'[1]Mit-2'!$M$84%,2)</f>
        <v>0</v>
      </c>
      <c r="D56" s="118" t="s">
        <v>262</v>
      </c>
      <c r="E56" s="620">
        <f>ROUND(C56*[1]Tab!$G$142,2)</f>
        <v>0</v>
      </c>
      <c r="F56" s="621"/>
      <c r="G56" s="455"/>
      <c r="H56" s="464"/>
      <c r="I56" s="153">
        <f>C56-E56</f>
        <v>0</v>
      </c>
      <c r="J56" s="402"/>
      <c r="K56" s="401"/>
      <c r="L56" s="401"/>
      <c r="M56" s="401"/>
      <c r="N56" s="572"/>
      <c r="O56" s="573"/>
      <c r="Q56" s="370">
        <f>[1]Tab!A9</f>
        <v>15000.01</v>
      </c>
      <c r="R56" s="371">
        <f>[1]Tab!D9</f>
        <v>28000</v>
      </c>
      <c r="S56" s="372">
        <f>S45</f>
        <v>0.23</v>
      </c>
      <c r="T56" s="373">
        <f>ROUND((R56-Q56)*S56+T55,2)</f>
        <v>6440</v>
      </c>
      <c r="U56" s="373">
        <f>ROUND(IF(AND($C$52&lt;=R56,$C$52&gt;=Q56),T55+($C$52-R55)*S56,0),2)</f>
        <v>0</v>
      </c>
    </row>
    <row r="57" spans="1:26" ht="12.75" customHeight="1" x14ac:dyDescent="0.2">
      <c r="A57" s="448" t="s">
        <v>242</v>
      </c>
      <c r="B57" s="459"/>
      <c r="C57" s="459"/>
      <c r="D57" s="460"/>
      <c r="E57" s="622"/>
      <c r="F57" s="622"/>
      <c r="G57" s="460"/>
      <c r="H57" s="461"/>
      <c r="I57" s="452">
        <f ca="1">ROUND(IF(SUM(H39:H40)&gt;=0,0,VLOOKUP($P$3,'[1]Mit-1'!$A$5:$AC$19,20,FALSE)/[1]Firma!$C$24*IF(R9=0,T9,R9)),2)</f>
        <v>0</v>
      </c>
      <c r="J57" s="569"/>
      <c r="K57" s="570"/>
      <c r="L57" s="570"/>
      <c r="M57" s="570"/>
      <c r="N57" s="570"/>
      <c r="O57" s="571"/>
      <c r="P57" s="30"/>
      <c r="Q57" s="370">
        <f>[1]Tab!A10</f>
        <v>28000.01</v>
      </c>
      <c r="R57" s="371">
        <f>[1]Tab!D10</f>
        <v>50000</v>
      </c>
      <c r="S57" s="372">
        <f>S46</f>
        <v>0.35</v>
      </c>
      <c r="T57" s="373">
        <f>ROUND((R57-Q57)*S57+T56,2)</f>
        <v>14140</v>
      </c>
      <c r="U57" s="373">
        <f>ROUND(IF(AND($C$52&lt;=R57,$C$52&gt;=Q57),T56+($C$52-R56)*S57,0),2)</f>
        <v>0</v>
      </c>
      <c r="V57" s="30"/>
      <c r="W57" s="30"/>
      <c r="X57" s="30"/>
      <c r="Y57" s="30"/>
      <c r="Z57" s="30"/>
    </row>
    <row r="58" spans="1:26" ht="12.75" customHeight="1" x14ac:dyDescent="0.2">
      <c r="A58" s="465"/>
      <c r="B58" s="470"/>
      <c r="C58" s="470"/>
      <c r="D58" s="471"/>
      <c r="E58" s="619"/>
      <c r="F58" s="619"/>
      <c r="G58" s="471"/>
      <c r="H58" s="472"/>
      <c r="I58" s="469"/>
      <c r="J58" s="402"/>
      <c r="K58" s="401"/>
      <c r="L58" s="401"/>
      <c r="M58" s="401"/>
      <c r="N58" s="572"/>
      <c r="O58" s="573"/>
      <c r="P58" s="30"/>
      <c r="Q58" s="370">
        <f>[1]Tab!A11</f>
        <v>50000.01</v>
      </c>
      <c r="R58" s="371">
        <f>[1]Tab!D11</f>
        <v>0</v>
      </c>
      <c r="S58" s="372">
        <f>S47</f>
        <v>0.43</v>
      </c>
      <c r="T58" s="373"/>
      <c r="U58" s="373">
        <f>ROUND(IF(AND($C$52&lt;=R58,$C$52&gt;=Q58),T57+($C$52-R57)*S58,0),2)</f>
        <v>0</v>
      </c>
      <c r="V58" s="30"/>
      <c r="W58" s="30"/>
      <c r="X58" s="30"/>
      <c r="Y58" s="30"/>
      <c r="Z58" s="30"/>
    </row>
    <row r="59" spans="1:26" ht="12" customHeight="1" x14ac:dyDescent="0.2">
      <c r="A59" s="106" t="s">
        <v>123</v>
      </c>
      <c r="B59" s="367"/>
      <c r="C59" s="390"/>
      <c r="D59" s="117" t="s">
        <v>41</v>
      </c>
      <c r="E59" s="615">
        <f>-'09'!H59</f>
        <v>0</v>
      </c>
      <c r="F59" s="616"/>
      <c r="G59" s="117" t="s">
        <v>42</v>
      </c>
      <c r="H59" s="329">
        <f>IF(I29=0,0,SUM(I60-Q61))</f>
        <v>0</v>
      </c>
      <c r="I59" s="399">
        <f>IF(I29=0,0,SUM(E59,H59))</f>
        <v>0</v>
      </c>
      <c r="J59" s="402"/>
      <c r="K59" s="401"/>
      <c r="L59" s="401"/>
      <c r="M59" s="401"/>
      <c r="N59" s="572"/>
      <c r="O59" s="573"/>
      <c r="P59" s="30"/>
      <c r="Q59" s="370">
        <f>[1]Tab!A12</f>
        <v>0</v>
      </c>
      <c r="R59" s="371"/>
      <c r="S59" s="372">
        <f>S48</f>
        <v>0</v>
      </c>
      <c r="T59" s="379"/>
      <c r="U59" s="373">
        <f>ROUND(IF($C$52&gt;R58,T58+($C$52-R58)*S59,0),2)</f>
        <v>0</v>
      </c>
      <c r="V59" s="30"/>
      <c r="W59" s="30"/>
      <c r="X59" s="30"/>
      <c r="Y59" s="30"/>
      <c r="Z59" s="30"/>
    </row>
    <row r="60" spans="1:26" ht="12" customHeight="1" x14ac:dyDescent="0.2">
      <c r="A60" s="319" t="s">
        <v>43</v>
      </c>
      <c r="B60" s="391"/>
      <c r="C60" s="391"/>
      <c r="D60" s="391"/>
      <c r="E60" s="391"/>
      <c r="F60" s="391"/>
      <c r="G60" s="391"/>
      <c r="H60" s="391"/>
      <c r="I60" s="400">
        <f>IF(I29=0,0,ROUNDUP(Q61,0))</f>
        <v>0</v>
      </c>
      <c r="J60" s="403"/>
      <c r="K60" s="404"/>
      <c r="L60" s="404"/>
      <c r="M60" s="404"/>
      <c r="N60" s="566"/>
      <c r="O60" s="567"/>
      <c r="P60" s="6"/>
      <c r="Q60" s="381" t="s">
        <v>8</v>
      </c>
      <c r="R60" s="382"/>
      <c r="S60" s="79"/>
      <c r="T60" s="64"/>
      <c r="U60" s="80">
        <f>ROUND(SUM(U55:U59),2)</f>
        <v>0</v>
      </c>
      <c r="V60" s="6"/>
      <c r="W60" s="6"/>
      <c r="X60" s="6"/>
      <c r="Y60" s="6"/>
      <c r="Z60" s="6"/>
    </row>
    <row r="61" spans="1:26" ht="15" customHeight="1" x14ac:dyDescent="0.2">
      <c r="A61" s="341"/>
      <c r="B61" s="341"/>
      <c r="C61" s="341"/>
      <c r="D61" s="341"/>
      <c r="E61" s="341"/>
      <c r="F61" s="341"/>
      <c r="G61" s="341"/>
      <c r="H61" s="341"/>
      <c r="I61" s="341"/>
      <c r="K61" s="341"/>
      <c r="L61" s="341"/>
      <c r="M61" s="341"/>
      <c r="Q61" s="392">
        <f ca="1">SUM(I53:I58,E59)</f>
        <v>0</v>
      </c>
    </row>
    <row r="62" spans="1:26" x14ac:dyDescent="0.2">
      <c r="Q62" s="392"/>
    </row>
    <row r="63" spans="1:26" ht="15.75" customHeight="1" x14ac:dyDescent="0.2">
      <c r="Q63" s="392"/>
    </row>
    <row r="64" spans="1:26" x14ac:dyDescent="0.2">
      <c r="A64" s="71" t="str">
        <f>'[1]Beschr-Descr.'!A1</f>
        <v xml:space="preserve">Beschreibung Lohnelemente  </v>
      </c>
      <c r="Q64" s="392"/>
    </row>
    <row r="65" spans="1:6" x14ac:dyDescent="0.2">
      <c r="A65" s="71" t="str">
        <f>'[1]Beschr-Descr.'!A2</f>
        <v>Descrizione elementi di retribuzione</v>
      </c>
      <c r="F65" s="71" t="s">
        <v>3</v>
      </c>
    </row>
    <row r="66" spans="1:6" x14ac:dyDescent="0.2">
      <c r="A66" s="345">
        <f>'[1]Beschr-Descr.'!A3</f>
        <v>0</v>
      </c>
      <c r="B66" s="345">
        <f>'[1]Beschr-Descr.'!B3</f>
        <v>0</v>
      </c>
      <c r="C66" s="345">
        <f>'[1]Beschr-Descr.'!C3</f>
        <v>0</v>
      </c>
      <c r="D66" s="345">
        <f>'[1]Beschr-Descr.'!D3</f>
        <v>0</v>
      </c>
      <c r="E66" s="345">
        <f>'[1]Beschr-Descr.'!E3</f>
        <v>0</v>
      </c>
    </row>
    <row r="67" spans="1:6" x14ac:dyDescent="0.2">
      <c r="A67" s="345" t="str">
        <f>'[1]Beschr-Descr.'!A4</f>
        <v>Normalentlohnung</v>
      </c>
      <c r="C67" s="345">
        <f>'[1]Beschr-Descr.'!C4</f>
        <v>0</v>
      </c>
      <c r="D67" s="345">
        <f>'[1]Beschr-Descr.'!D4</f>
        <v>0</v>
      </c>
      <c r="E67" s="207">
        <f>'[1]Beschr-Descr.'!E4</f>
        <v>0</v>
      </c>
      <c r="F67" s="345" t="s">
        <v>44</v>
      </c>
    </row>
    <row r="68" spans="1:6" x14ac:dyDescent="0.2">
      <c r="A68" s="345" t="str">
        <f>'[1]Beschr-Descr.'!A5</f>
        <v>Genossener Urlaub</v>
      </c>
      <c r="C68" s="345">
        <f>'[1]Beschr-Descr.'!C5</f>
        <v>0</v>
      </c>
      <c r="D68" s="345">
        <f>'[1]Beschr-Descr.'!D5</f>
        <v>0</v>
      </c>
      <c r="E68" s="207">
        <f>'[1]Beschr-Descr.'!E5</f>
        <v>0</v>
      </c>
      <c r="F68" s="345" t="s">
        <v>45</v>
      </c>
    </row>
    <row r="69" spans="1:6" x14ac:dyDescent="0.2">
      <c r="A69" s="345" t="str">
        <f>'[1]Beschr-Descr.'!A6</f>
        <v>Genossene Freistellungen</v>
      </c>
      <c r="C69" s="345">
        <f>'[1]Beschr-Descr.'!C6</f>
        <v>0</v>
      </c>
      <c r="D69" s="345">
        <f>'[1]Beschr-Descr.'!D6</f>
        <v>0</v>
      </c>
      <c r="E69" s="207">
        <f>'[1]Beschr-Descr.'!E6</f>
        <v>0</v>
      </c>
      <c r="F69" s="345" t="s">
        <v>46</v>
      </c>
    </row>
    <row r="70" spans="1:6" x14ac:dyDescent="0.2">
      <c r="A70" s="345" t="str">
        <f>'[1]Beschr-Descr.'!A7</f>
        <v>Nicht genossener Urlaub</v>
      </c>
      <c r="C70" s="345">
        <f>'[1]Beschr-Descr.'!C7</f>
        <v>0</v>
      </c>
      <c r="D70" s="345">
        <f>'[1]Beschr-Descr.'!D7</f>
        <v>0</v>
      </c>
      <c r="E70" s="207">
        <f>'[1]Beschr-Descr.'!E7</f>
        <v>0</v>
      </c>
    </row>
    <row r="71" spans="1:6" x14ac:dyDescent="0.2">
      <c r="A71" s="345" t="str">
        <f>'[1]Beschr-Descr.'!A8</f>
        <v>Nicht genossene Freistellungen</v>
      </c>
      <c r="C71" s="345">
        <f>'[1]Beschr-Descr.'!C8</f>
        <v>0</v>
      </c>
      <c r="D71" s="345">
        <f>'[1]Beschr-Descr.'!D8</f>
        <v>0</v>
      </c>
      <c r="E71" s="207">
        <f>'[1]Beschr-Descr.'!E8</f>
        <v>0</v>
      </c>
    </row>
    <row r="72" spans="1:6" x14ac:dyDescent="0.2">
      <c r="A72" s="345" t="str">
        <f>'[1]Beschr-Descr.'!A9</f>
        <v>Nicht genossene Feiertage</v>
      </c>
      <c r="C72" s="345">
        <f>'[1]Beschr-Descr.'!C9</f>
        <v>0</v>
      </c>
      <c r="D72" s="345">
        <f>'[1]Beschr-Descr.'!D9</f>
        <v>0</v>
      </c>
      <c r="E72" s="207">
        <f>'[1]Beschr-Descr.'!E9</f>
        <v>0</v>
      </c>
    </row>
    <row r="73" spans="1:6" x14ac:dyDescent="0.2">
      <c r="A73" s="345" t="str">
        <f>'[1]Beschr-Descr.'!A10</f>
        <v>Zulage für Kassarisiko</v>
      </c>
      <c r="C73" s="345">
        <f>'[1]Beschr-Descr.'!C10</f>
        <v>0</v>
      </c>
      <c r="D73" s="345">
        <f>'[1]Beschr-Descr.'!D10</f>
        <v>0</v>
      </c>
      <c r="E73" s="207">
        <f>'[1]Beschr-Descr.'!E10</f>
        <v>0</v>
      </c>
    </row>
    <row r="74" spans="1:6" x14ac:dyDescent="0.2">
      <c r="A74" s="345">
        <f>'[1]Beschr-Descr.'!A11</f>
        <v>0</v>
      </c>
      <c r="C74" s="345">
        <f>'[1]Beschr-Descr.'!C11</f>
        <v>0</v>
      </c>
      <c r="D74" s="345">
        <f>'[1]Beschr-Descr.'!D11</f>
        <v>0</v>
      </c>
      <c r="E74" s="207">
        <f>'[1]Beschr-Descr.'!E11</f>
        <v>0</v>
      </c>
    </row>
    <row r="75" spans="1:6" x14ac:dyDescent="0.2">
      <c r="A75" s="345" t="str">
        <f>'[1]Beschr-Descr.'!A12</f>
        <v xml:space="preserve">Überstunden 15%  </v>
      </c>
      <c r="C75" s="345">
        <f>'[1]Beschr-Descr.'!C12</f>
        <v>0</v>
      </c>
      <c r="D75" s="345">
        <f>'[1]Beschr-Descr.'!D12</f>
        <v>0</v>
      </c>
      <c r="E75" s="207">
        <f>'[1]Beschr-Descr.'!E12</f>
        <v>0.15</v>
      </c>
    </row>
    <row r="76" spans="1:6" x14ac:dyDescent="0.2">
      <c r="A76" s="345" t="str">
        <f>'[1]Beschr-Descr.'!A13</f>
        <v xml:space="preserve">Überstunden 20%  </v>
      </c>
      <c r="C76" s="345">
        <f>'[1]Beschr-Descr.'!C13</f>
        <v>0</v>
      </c>
      <c r="D76" s="345">
        <f>'[1]Beschr-Descr.'!D13</f>
        <v>0</v>
      </c>
      <c r="E76" s="207">
        <f>'[1]Beschr-Descr.'!E13</f>
        <v>0.2</v>
      </c>
    </row>
    <row r="77" spans="1:6" x14ac:dyDescent="0.2">
      <c r="A77" s="345" t="str">
        <f>'[1]Beschr-Descr.'!A14</f>
        <v xml:space="preserve">Überstunden 30%  </v>
      </c>
      <c r="C77" s="345">
        <f>'[1]Beschr-Descr.'!C14</f>
        <v>0</v>
      </c>
      <c r="D77" s="345">
        <f>'[1]Beschr-Descr.'!D14</f>
        <v>0</v>
      </c>
      <c r="E77" s="207">
        <f>'[1]Beschr-Descr.'!E14</f>
        <v>0.3</v>
      </c>
    </row>
    <row r="78" spans="1:6" x14ac:dyDescent="0.2">
      <c r="A78" s="345" t="str">
        <f>'[1]Beschr-Descr.'!A15</f>
        <v xml:space="preserve">Überstunden 50%  </v>
      </c>
      <c r="C78" s="345">
        <f>'[1]Beschr-Descr.'!C15</f>
        <v>0</v>
      </c>
      <c r="D78" s="345">
        <f>'[1]Beschr-Descr.'!D15</f>
        <v>0</v>
      </c>
      <c r="E78" s="207">
        <f>'[1]Beschr-Descr.'!E15</f>
        <v>0.5</v>
      </c>
    </row>
    <row r="79" spans="1:6" x14ac:dyDescent="0.2">
      <c r="A79" s="345" t="str">
        <f>'[1]Beschr-Descr.'!A16</f>
        <v>Nachtstunden 50%</v>
      </c>
      <c r="C79" s="345">
        <f>'[1]Beschr-Descr.'!C16</f>
        <v>0</v>
      </c>
      <c r="D79" s="345">
        <f>'[1]Beschr-Descr.'!D16</f>
        <v>0</v>
      </c>
      <c r="E79" s="207">
        <f>'[1]Beschr-Descr.'!E16</f>
        <v>0.5</v>
      </c>
    </row>
    <row r="80" spans="1:6" x14ac:dyDescent="0.2">
      <c r="A80" s="345">
        <f>'[1]Beschr-Descr.'!A17</f>
        <v>0</v>
      </c>
      <c r="C80" s="345">
        <f>'[1]Beschr-Descr.'!C17</f>
        <v>0</v>
      </c>
      <c r="D80" s="345">
        <f>'[1]Beschr-Descr.'!D17</f>
        <v>0</v>
      </c>
      <c r="E80" s="207">
        <f>'[1]Beschr-Descr.'!E17</f>
        <v>0</v>
      </c>
    </row>
    <row r="81" spans="1:5" x14ac:dyDescent="0.2">
      <c r="A81" s="345" t="str">
        <f>'[1]Beschr-Descr.'!A18</f>
        <v>Krankheit gesamt</v>
      </c>
      <c r="C81" s="345">
        <f>'[1]Beschr-Descr.'!C18</f>
        <v>0</v>
      </c>
      <c r="D81" s="345">
        <f>'[1]Beschr-Descr.'!D18</f>
        <v>0</v>
      </c>
      <c r="E81" s="207">
        <f>'[1]Beschr-Descr.'!E18</f>
        <v>0</v>
      </c>
    </row>
    <row r="82" spans="1:5" x14ac:dyDescent="0.2">
      <c r="A82" s="345" t="str">
        <f>'[1]Beschr-Descr.'!A19</f>
        <v xml:space="preserve">Krankheit INPS-Anteil 50,00% </v>
      </c>
      <c r="C82" s="345">
        <f>'[1]Beschr-Descr.'!C19</f>
        <v>0</v>
      </c>
      <c r="D82" s="345">
        <f>'[1]Beschr-Descr.'!D19</f>
        <v>0</v>
      </c>
      <c r="E82" s="207">
        <f>'[1]Beschr-Descr.'!E19</f>
        <v>-0.5</v>
      </c>
    </row>
    <row r="83" spans="1:5" x14ac:dyDescent="0.2">
      <c r="A83" s="345" t="str">
        <f>'[1]Beschr-Descr.'!A20</f>
        <v xml:space="preserve">Krankheit INPS-Anteil 66,67% </v>
      </c>
      <c r="C83" s="345">
        <f>'[1]Beschr-Descr.'!C20</f>
        <v>0</v>
      </c>
      <c r="D83" s="345">
        <f>'[1]Beschr-Descr.'!D20</f>
        <v>0</v>
      </c>
      <c r="E83" s="207">
        <f>'[1]Beschr-Descr.'!E20</f>
        <v>-0.66669999999999996</v>
      </c>
    </row>
    <row r="84" spans="1:5" x14ac:dyDescent="0.2">
      <c r="A84" s="345" t="str">
        <f>'[1]Beschr-Descr.'!A21</f>
        <v>Mutterschaft Gesamtbetrag</v>
      </c>
      <c r="C84" s="345">
        <f>'[1]Beschr-Descr.'!C21</f>
        <v>0</v>
      </c>
      <c r="D84" s="345">
        <f>'[1]Beschr-Descr.'!D21</f>
        <v>0</v>
      </c>
      <c r="E84" s="207">
        <f>'[1]Beschr-Descr.'!E21</f>
        <v>0</v>
      </c>
    </row>
    <row r="85" spans="1:5" x14ac:dyDescent="0.2">
      <c r="A85" s="345" t="str">
        <f>'[1]Beschr-Descr.'!A22</f>
        <v>Mutterschaft INPS-Anteil 80,00%</v>
      </c>
      <c r="C85" s="345">
        <f>'[1]Beschr-Descr.'!C22</f>
        <v>0</v>
      </c>
      <c r="D85" s="345">
        <f>'[1]Beschr-Descr.'!D22</f>
        <v>0</v>
      </c>
      <c r="E85" s="207">
        <f>'[1]Beschr-Descr.'!E22</f>
        <v>-0.8</v>
      </c>
    </row>
    <row r="86" spans="1:5" x14ac:dyDescent="0.2">
      <c r="A86" s="345" t="str">
        <f>'[1]Beschr-Descr.'!A23</f>
        <v>Abzug Bruttoberechnung Krankengeld INPS</v>
      </c>
      <c r="C86" s="345">
        <f>'[1]Beschr-Descr.'!C23</f>
        <v>0</v>
      </c>
      <c r="D86" s="345">
        <f>'[1]Beschr-Descr.'!D23</f>
        <v>0</v>
      </c>
      <c r="E86" s="207">
        <f>'[1]Beschr-Descr.'!E23</f>
        <v>0.10120030833608633</v>
      </c>
    </row>
    <row r="87" spans="1:5" x14ac:dyDescent="0.2">
      <c r="A87" s="345">
        <f>'[1]Beschr-Descr.'!A24</f>
        <v>0</v>
      </c>
      <c r="C87" s="345">
        <f>'[1]Beschr-Descr.'!C24</f>
        <v>0</v>
      </c>
      <c r="D87" s="345">
        <f>'[1]Beschr-Descr.'!D24</f>
        <v>0</v>
      </c>
      <c r="E87" s="207">
        <f>'[1]Beschr-Descr.'!E24</f>
        <v>0</v>
      </c>
    </row>
    <row r="88" spans="1:5" x14ac:dyDescent="0.2">
      <c r="A88" s="345" t="str">
        <f>'[1]Beschr-Descr.'!A25</f>
        <v xml:space="preserve">13. Monatsgehalt  </v>
      </c>
      <c r="C88" s="345">
        <f>'[1]Beschr-Descr.'!C25</f>
        <v>0</v>
      </c>
      <c r="D88" s="345">
        <f>'[1]Beschr-Descr.'!D25</f>
        <v>0</v>
      </c>
      <c r="E88" s="207">
        <f>'[1]Beschr-Descr.'!E25</f>
        <v>0</v>
      </c>
    </row>
    <row r="89" spans="1:5" x14ac:dyDescent="0.2">
      <c r="A89" s="345" t="str">
        <f>'[1]Beschr-Descr.'!A26</f>
        <v xml:space="preserve">14. Monatsgehalt  </v>
      </c>
      <c r="C89" s="345">
        <f>'[1]Beschr-Descr.'!C26</f>
        <v>0</v>
      </c>
      <c r="D89" s="345">
        <f>'[1]Beschr-Descr.'!D26</f>
        <v>0</v>
      </c>
      <c r="E89" s="207">
        <f>'[1]Beschr-Descr.'!E26</f>
        <v>0</v>
      </c>
    </row>
    <row r="90" spans="1:5" x14ac:dyDescent="0.2">
      <c r="A90" s="345" t="str">
        <f>'[1]Beschr-Descr.'!A27</f>
        <v xml:space="preserve">Nichteinhaltung Kündigungsfrist  </v>
      </c>
      <c r="C90" s="345">
        <f>'[1]Beschr-Descr.'!C27</f>
        <v>0</v>
      </c>
      <c r="D90" s="345">
        <f>'[1]Beschr-Descr.'!D27</f>
        <v>0</v>
      </c>
      <c r="E90" s="207">
        <f>'[1]Beschr-Descr.'!E27</f>
        <v>0</v>
      </c>
    </row>
    <row r="91" spans="1:5" x14ac:dyDescent="0.2">
      <c r="A91" s="345" t="str">
        <f>'[1]Beschr-Descr.'!A28</f>
        <v>Una Tantum</v>
      </c>
      <c r="C91" s="345">
        <f>'[1]Beschr-Descr.'!C28</f>
        <v>0</v>
      </c>
      <c r="D91" s="345">
        <f>'[1]Beschr-Descr.'!D28</f>
        <v>0</v>
      </c>
      <c r="E91" s="207">
        <f>'[1]Beschr-Descr.'!E28</f>
        <v>0</v>
      </c>
    </row>
    <row r="92" spans="1:5" x14ac:dyDescent="0.2">
      <c r="A92" s="345" t="str">
        <f>'[1]Beschr-Descr.'!A29</f>
        <v>Prämie</v>
      </c>
      <c r="C92" s="345">
        <f>'[1]Beschr-Descr.'!C29</f>
        <v>0</v>
      </c>
      <c r="D92" s="345">
        <f>'[1]Beschr-Descr.'!D29</f>
        <v>0</v>
      </c>
      <c r="E92" s="207">
        <f>'[1]Beschr-Descr.'!E29</f>
        <v>0</v>
      </c>
    </row>
    <row r="93" spans="1:5" x14ac:dyDescent="0.2">
      <c r="A93" s="345">
        <f>'[1]Beschr-Descr.'!A30</f>
        <v>0</v>
      </c>
      <c r="C93" s="345">
        <f>'[1]Beschr-Descr.'!C30</f>
        <v>0</v>
      </c>
      <c r="D93" s="345">
        <f>'[1]Beschr-Descr.'!D30</f>
        <v>0</v>
      </c>
      <c r="E93" s="207">
        <f>'[1]Beschr-Descr.'!E30</f>
        <v>0</v>
      </c>
    </row>
    <row r="94" spans="1:5" x14ac:dyDescent="0.2">
      <c r="A94" s="345">
        <f>'[1]Beschr-Descr.'!A31</f>
        <v>0</v>
      </c>
      <c r="C94" s="345">
        <f>'[1]Beschr-Descr.'!C31</f>
        <v>0</v>
      </c>
      <c r="D94" s="345">
        <f>'[1]Beschr-Descr.'!D31</f>
        <v>0</v>
      </c>
      <c r="E94" s="207">
        <f>'[1]Beschr-Descr.'!E31</f>
        <v>0</v>
      </c>
    </row>
    <row r="95" spans="1:5" x14ac:dyDescent="0.2">
      <c r="A95" s="345" t="str">
        <f>'[1]Beschr-Descr.'!A32</f>
        <v xml:space="preserve">Retribuzione ordinaria </v>
      </c>
      <c r="C95" s="345">
        <f>'[1]Beschr-Descr.'!C32</f>
        <v>0</v>
      </c>
      <c r="D95" s="345">
        <f>'[1]Beschr-Descr.'!D32</f>
        <v>0</v>
      </c>
      <c r="E95" s="207">
        <f>'[1]Beschr-Descr.'!E32</f>
        <v>0</v>
      </c>
    </row>
    <row r="96" spans="1:5" x14ac:dyDescent="0.2">
      <c r="A96" s="345" t="str">
        <f>'[1]Beschr-Descr.'!A33</f>
        <v>Ferie godute</v>
      </c>
      <c r="C96" s="345">
        <f>'[1]Beschr-Descr.'!C33</f>
        <v>0</v>
      </c>
      <c r="D96" s="345">
        <f>'[1]Beschr-Descr.'!D33</f>
        <v>0</v>
      </c>
      <c r="E96" s="207">
        <f>'[1]Beschr-Descr.'!E33</f>
        <v>0</v>
      </c>
    </row>
    <row r="97" spans="1:5" x14ac:dyDescent="0.2">
      <c r="A97" s="345" t="str">
        <f>'[1]Beschr-Descr.'!A34</f>
        <v>Permessi goduti</v>
      </c>
      <c r="C97" s="345">
        <f>'[1]Beschr-Descr.'!C34</f>
        <v>0</v>
      </c>
      <c r="D97" s="345">
        <f>'[1]Beschr-Descr.'!D34</f>
        <v>0</v>
      </c>
      <c r="E97" s="207">
        <f>'[1]Beschr-Descr.'!E34</f>
        <v>0</v>
      </c>
    </row>
    <row r="98" spans="1:5" x14ac:dyDescent="0.2">
      <c r="A98" s="345" t="str">
        <f>'[1]Beschr-Descr.'!A35</f>
        <v>Ferie non godute</v>
      </c>
      <c r="C98" s="345">
        <f>'[1]Beschr-Descr.'!C35</f>
        <v>0</v>
      </c>
      <c r="D98" s="345">
        <f>'[1]Beschr-Descr.'!D35</f>
        <v>0</v>
      </c>
      <c r="E98" s="207">
        <f>'[1]Beschr-Descr.'!E35</f>
        <v>0</v>
      </c>
    </row>
    <row r="99" spans="1:5" x14ac:dyDescent="0.2">
      <c r="A99" s="345" t="str">
        <f>'[1]Beschr-Descr.'!A36</f>
        <v>Ferie non godute</v>
      </c>
      <c r="C99" s="345">
        <f>'[1]Beschr-Descr.'!C36</f>
        <v>0</v>
      </c>
      <c r="D99" s="345">
        <f>'[1]Beschr-Descr.'!D36</f>
        <v>0</v>
      </c>
      <c r="E99" s="207">
        <f>'[1]Beschr-Descr.'!E36</f>
        <v>0</v>
      </c>
    </row>
    <row r="100" spans="1:5" x14ac:dyDescent="0.2">
      <c r="A100" s="345" t="str">
        <f>'[1]Beschr-Descr.'!A37</f>
        <v>Festività non godute</v>
      </c>
      <c r="C100" s="345">
        <f>'[1]Beschr-Descr.'!C37</f>
        <v>0</v>
      </c>
      <c r="D100" s="345">
        <f>'[1]Beschr-Descr.'!D37</f>
        <v>0</v>
      </c>
      <c r="E100" s="207">
        <f>'[1]Beschr-Descr.'!E37</f>
        <v>0</v>
      </c>
    </row>
    <row r="101" spans="1:5" x14ac:dyDescent="0.2">
      <c r="A101" s="345" t="str">
        <f>'[1]Beschr-Descr.'!A38</f>
        <v>Indennità rischio cassa</v>
      </c>
      <c r="C101" s="345">
        <f>'[1]Beschr-Descr.'!C38</f>
        <v>0</v>
      </c>
      <c r="D101" s="345">
        <f>'[1]Beschr-Descr.'!D38</f>
        <v>0</v>
      </c>
      <c r="E101" s="207">
        <f>'[1]Beschr-Descr.'!E38</f>
        <v>0</v>
      </c>
    </row>
    <row r="102" spans="1:5" x14ac:dyDescent="0.2">
      <c r="A102" s="345">
        <f>'[1]Beschr-Descr.'!A39</f>
        <v>0</v>
      </c>
      <c r="C102" s="345">
        <f>'[1]Beschr-Descr.'!C39</f>
        <v>0</v>
      </c>
      <c r="D102" s="345">
        <f>'[1]Beschr-Descr.'!D39</f>
        <v>0</v>
      </c>
      <c r="E102" s="207">
        <f>'[1]Beschr-Descr.'!E39</f>
        <v>0</v>
      </c>
    </row>
    <row r="103" spans="1:5" x14ac:dyDescent="0.2">
      <c r="A103" s="345" t="str">
        <f>'[1]Beschr-Descr.'!A40</f>
        <v>Ore straordinarie 15%</v>
      </c>
      <c r="C103" s="345">
        <f>'[1]Beschr-Descr.'!C40</f>
        <v>0</v>
      </c>
      <c r="D103" s="345">
        <f>'[1]Beschr-Descr.'!D40</f>
        <v>0</v>
      </c>
      <c r="E103" s="207">
        <f>'[1]Beschr-Descr.'!E40</f>
        <v>0.15</v>
      </c>
    </row>
    <row r="104" spans="1:5" x14ac:dyDescent="0.2">
      <c r="A104" s="345" t="str">
        <f>'[1]Beschr-Descr.'!A41</f>
        <v>Ore straordinarie 20%</v>
      </c>
      <c r="C104" s="345">
        <f>'[1]Beschr-Descr.'!C41</f>
        <v>0</v>
      </c>
      <c r="D104" s="345">
        <f>'[1]Beschr-Descr.'!D41</f>
        <v>0</v>
      </c>
      <c r="E104" s="207">
        <f>'[1]Beschr-Descr.'!E41</f>
        <v>0.2</v>
      </c>
    </row>
    <row r="105" spans="1:5" x14ac:dyDescent="0.2">
      <c r="A105" s="345" t="str">
        <f>'[1]Beschr-Descr.'!A42</f>
        <v>Ore straordinarie 30%</v>
      </c>
      <c r="C105" s="345">
        <f>'[1]Beschr-Descr.'!C42</f>
        <v>0</v>
      </c>
      <c r="D105" s="345">
        <f>'[1]Beschr-Descr.'!D42</f>
        <v>0</v>
      </c>
      <c r="E105" s="207">
        <f>'[1]Beschr-Descr.'!E42</f>
        <v>0.3</v>
      </c>
    </row>
    <row r="106" spans="1:5" x14ac:dyDescent="0.2">
      <c r="A106" s="345" t="str">
        <f>'[1]Beschr-Descr.'!A43</f>
        <v>Ore straordinarie 50%</v>
      </c>
      <c r="C106" s="345">
        <f>'[1]Beschr-Descr.'!C43</f>
        <v>0</v>
      </c>
      <c r="D106" s="345">
        <f>'[1]Beschr-Descr.'!D43</f>
        <v>0</v>
      </c>
      <c r="E106" s="207">
        <f>'[1]Beschr-Descr.'!E43</f>
        <v>0.5</v>
      </c>
    </row>
    <row r="107" spans="1:5" x14ac:dyDescent="0.2">
      <c r="A107" s="345" t="str">
        <f>'[1]Beschr-Descr.'!A44</f>
        <v>Ore notturne 50%</v>
      </c>
      <c r="C107" s="345">
        <f>'[1]Beschr-Descr.'!C44</f>
        <v>0</v>
      </c>
      <c r="D107" s="345">
        <f>'[1]Beschr-Descr.'!D44</f>
        <v>0</v>
      </c>
      <c r="E107" s="207">
        <f>'[1]Beschr-Descr.'!E44</f>
        <v>0.5</v>
      </c>
    </row>
    <row r="108" spans="1:5" x14ac:dyDescent="0.2">
      <c r="A108" s="345">
        <f>'[1]Beschr-Descr.'!A45</f>
        <v>0</v>
      </c>
      <c r="C108" s="345">
        <f>'[1]Beschr-Descr.'!C45</f>
        <v>0</v>
      </c>
      <c r="D108" s="345">
        <f>'[1]Beschr-Descr.'!D45</f>
        <v>0</v>
      </c>
      <c r="E108" s="207">
        <f>'[1]Beschr-Descr.'!E45</f>
        <v>0</v>
      </c>
    </row>
    <row r="109" spans="1:5" x14ac:dyDescent="0.2">
      <c r="A109" s="345" t="str">
        <f>'[1]Beschr-Descr.'!A46</f>
        <v>Indennità di malattia totale</v>
      </c>
      <c r="C109" s="345">
        <f>'[1]Beschr-Descr.'!C46</f>
        <v>0</v>
      </c>
      <c r="D109" s="345">
        <f>'[1]Beschr-Descr.'!D46</f>
        <v>0</v>
      </c>
      <c r="E109" s="207">
        <f>'[1]Beschr-Descr.'!E46</f>
        <v>0</v>
      </c>
    </row>
    <row r="110" spans="1:5" x14ac:dyDescent="0.2">
      <c r="A110" s="345" t="str">
        <f>'[1]Beschr-Descr.'!A47</f>
        <v>Indennità di malattia quota INPS 50%</v>
      </c>
      <c r="C110" s="345">
        <f>'[1]Beschr-Descr.'!C47</f>
        <v>0</v>
      </c>
      <c r="D110" s="345">
        <f>'[1]Beschr-Descr.'!D47</f>
        <v>0</v>
      </c>
      <c r="E110" s="207">
        <f>'[1]Beschr-Descr.'!E47</f>
        <v>-0.5</v>
      </c>
    </row>
    <row r="111" spans="1:5" x14ac:dyDescent="0.2">
      <c r="A111" s="345" t="str">
        <f>'[1]Beschr-Descr.'!A48</f>
        <v>Indennità di malattia quota INPS 66,67%</v>
      </c>
      <c r="C111" s="345">
        <f>'[1]Beschr-Descr.'!C48</f>
        <v>0</v>
      </c>
      <c r="D111" s="345">
        <f>'[1]Beschr-Descr.'!D48</f>
        <v>0</v>
      </c>
      <c r="E111" s="207">
        <f>'[1]Beschr-Descr.'!E48</f>
        <v>-0.66669999999999996</v>
      </c>
    </row>
    <row r="112" spans="1:5" x14ac:dyDescent="0.2">
      <c r="A112" s="345" t="str">
        <f>'[1]Beschr-Descr.'!A49</f>
        <v>Indennità di maternità importo totale</v>
      </c>
      <c r="C112" s="345">
        <f>'[1]Beschr-Descr.'!C49</f>
        <v>0</v>
      </c>
      <c r="D112" s="345">
        <f>'[1]Beschr-Descr.'!D49</f>
        <v>0</v>
      </c>
      <c r="E112" s="207">
        <f>'[1]Beschr-Descr.'!E49</f>
        <v>0</v>
      </c>
    </row>
    <row r="113" spans="1:5" x14ac:dyDescent="0.2">
      <c r="A113" s="345" t="str">
        <f>'[1]Beschr-Descr.'!A50</f>
        <v>Indennità di maternità quota INPS 80,00%</v>
      </c>
      <c r="C113" s="345">
        <f>'[1]Beschr-Descr.'!C50</f>
        <v>0</v>
      </c>
      <c r="D113" s="345">
        <f>'[1]Beschr-Descr.'!D50</f>
        <v>0</v>
      </c>
      <c r="E113" s="207">
        <f>'[1]Beschr-Descr.'!E50</f>
        <v>-0.8</v>
      </c>
    </row>
    <row r="114" spans="1:5" x14ac:dyDescent="0.2">
      <c r="A114" s="345" t="str">
        <f>'[1]Beschr-Descr.'!A51</f>
        <v>Lordizzazione indennità malattia quota INPS</v>
      </c>
      <c r="C114" s="345">
        <f>'[1]Beschr-Descr.'!C51</f>
        <v>0</v>
      </c>
      <c r="D114" s="345">
        <f>'[1]Beschr-Descr.'!D51</f>
        <v>0</v>
      </c>
      <c r="E114" s="207">
        <f>'[1]Beschr-Descr.'!E51</f>
        <v>0.1012</v>
      </c>
    </row>
    <row r="115" spans="1:5" x14ac:dyDescent="0.2">
      <c r="A115" s="345">
        <f>'[1]Beschr-Descr.'!A52</f>
        <v>0</v>
      </c>
      <c r="C115" s="345">
        <f>'[1]Beschr-Descr.'!C52</f>
        <v>0</v>
      </c>
      <c r="D115" s="345">
        <f>'[1]Beschr-Descr.'!D52</f>
        <v>0</v>
      </c>
      <c r="E115" s="207">
        <f>'[1]Beschr-Descr.'!E52</f>
        <v>0</v>
      </c>
    </row>
    <row r="116" spans="1:5" x14ac:dyDescent="0.2">
      <c r="A116" s="345" t="str">
        <f>'[1]Beschr-Descr.'!A53</f>
        <v>13a mensilità</v>
      </c>
      <c r="C116" s="345">
        <f>'[1]Beschr-Descr.'!C53</f>
        <v>0</v>
      </c>
      <c r="D116" s="345">
        <f>'[1]Beschr-Descr.'!D53</f>
        <v>0</v>
      </c>
      <c r="E116" s="207">
        <f>'[1]Beschr-Descr.'!E53</f>
        <v>0</v>
      </c>
    </row>
    <row r="117" spans="1:5" x14ac:dyDescent="0.2">
      <c r="A117" s="345" t="str">
        <f>'[1]Beschr-Descr.'!A54</f>
        <v>14a mensilità</v>
      </c>
      <c r="C117" s="345">
        <f>'[1]Beschr-Descr.'!C54</f>
        <v>0</v>
      </c>
      <c r="D117" s="345">
        <f>'[1]Beschr-Descr.'!D54</f>
        <v>0</v>
      </c>
      <c r="E117" s="207">
        <f>'[1]Beschr-Descr.'!E54</f>
        <v>0</v>
      </c>
    </row>
    <row r="118" spans="1:5" x14ac:dyDescent="0.2">
      <c r="A118" s="345" t="str">
        <f>'[1]Beschr-Descr.'!A55</f>
        <v>Mancato rispetto periodo preavviso licenziamento</v>
      </c>
      <c r="C118" s="345">
        <f>'[1]Beschr-Descr.'!C55</f>
        <v>0</v>
      </c>
      <c r="D118" s="345">
        <f>'[1]Beschr-Descr.'!D55</f>
        <v>0</v>
      </c>
      <c r="E118" s="207">
        <f>'[1]Beschr-Descr.'!E55</f>
        <v>0</v>
      </c>
    </row>
    <row r="119" spans="1:5" x14ac:dyDescent="0.2">
      <c r="A119" s="345" t="str">
        <f>'[1]Beschr-Descr.'!A56</f>
        <v>Una Tantum</v>
      </c>
      <c r="C119" s="345">
        <f>'[1]Beschr-Descr.'!C56</f>
        <v>0</v>
      </c>
      <c r="D119" s="345">
        <f>'[1]Beschr-Descr.'!D56</f>
        <v>0</v>
      </c>
      <c r="E119" s="207">
        <f>'[1]Beschr-Descr.'!E56</f>
        <v>0</v>
      </c>
    </row>
    <row r="120" spans="1:5" x14ac:dyDescent="0.2">
      <c r="A120" s="345" t="str">
        <f>'[1]Beschr-Descr.'!A57</f>
        <v>Premio</v>
      </c>
      <c r="C120" s="345">
        <f>'[1]Beschr-Descr.'!C57</f>
        <v>0</v>
      </c>
      <c r="D120" s="345">
        <f>'[1]Beschr-Descr.'!D57</f>
        <v>0</v>
      </c>
      <c r="E120" s="207">
        <f>'[1]Beschr-Descr.'!E57</f>
        <v>0</v>
      </c>
    </row>
    <row r="121" spans="1:5" x14ac:dyDescent="0.2">
      <c r="A121" s="345">
        <f>'[1]Beschr-Descr.'!A58</f>
        <v>0</v>
      </c>
      <c r="C121" s="345">
        <f>'[1]Beschr-Descr.'!C58</f>
        <v>0</v>
      </c>
      <c r="D121" s="345">
        <f>'[1]Beschr-Descr.'!D58</f>
        <v>0</v>
      </c>
      <c r="E121" s="207">
        <f>'[1]Beschr-Descr.'!E58</f>
        <v>0</v>
      </c>
    </row>
    <row r="122" spans="1:5" x14ac:dyDescent="0.2">
      <c r="A122" s="345">
        <f>'[1]Beschr-Descr.'!A63</f>
        <v>0</v>
      </c>
    </row>
    <row r="123" spans="1:5" x14ac:dyDescent="0.2">
      <c r="A123" s="345">
        <f>'[1]Beschr-Descr.'!A64</f>
        <v>0</v>
      </c>
    </row>
    <row r="124" spans="1:5" x14ac:dyDescent="0.2">
      <c r="A124" s="345">
        <f>'[1]Beschr-Descr.'!A65</f>
        <v>0</v>
      </c>
    </row>
    <row r="125" spans="1:5" x14ac:dyDescent="0.2">
      <c r="A125" s="345">
        <f>'[1]Beschr-Descr.'!A66</f>
        <v>0</v>
      </c>
    </row>
    <row r="126" spans="1:5" x14ac:dyDescent="0.2">
      <c r="A126" s="345">
        <f>'[1]Beschr-Descr.'!A67</f>
        <v>0</v>
      </c>
    </row>
    <row r="127" spans="1:5" x14ac:dyDescent="0.2">
      <c r="A127" s="345">
        <f>'[1]Beschr-Descr.'!A68</f>
        <v>0</v>
      </c>
    </row>
    <row r="128" spans="1:5" x14ac:dyDescent="0.2">
      <c r="A128" s="345">
        <f>'[1]Beschr-Descr.'!A69</f>
        <v>0</v>
      </c>
    </row>
    <row r="129" spans="1:1" x14ac:dyDescent="0.2">
      <c r="A129" s="345">
        <f>'[1]Beschr-Descr.'!A70</f>
        <v>0</v>
      </c>
    </row>
    <row r="130" spans="1:1" x14ac:dyDescent="0.2">
      <c r="A130" s="345">
        <f>'[1]Beschr-Descr.'!A71</f>
        <v>0</v>
      </c>
    </row>
    <row r="131" spans="1:1" x14ac:dyDescent="0.2">
      <c r="A131" s="345">
        <f>'[1]Beschr-Descr.'!A72</f>
        <v>0</v>
      </c>
    </row>
    <row r="132" spans="1:1" x14ac:dyDescent="0.2">
      <c r="A132" s="345">
        <f>'[1]Beschr-Descr.'!A73</f>
        <v>0</v>
      </c>
    </row>
    <row r="133" spans="1:1" x14ac:dyDescent="0.2">
      <c r="A133" s="345">
        <f>'[1]Beschr-Descr.'!A74</f>
        <v>0</v>
      </c>
    </row>
    <row r="134" spans="1:1" x14ac:dyDescent="0.2">
      <c r="A134" s="345">
        <f>'[1]Beschr-Descr.'!A75</f>
        <v>0</v>
      </c>
    </row>
    <row r="135" spans="1:1" x14ac:dyDescent="0.2">
      <c r="A135" s="345">
        <f>'[1]Beschr-Descr.'!A76</f>
        <v>0</v>
      </c>
    </row>
    <row r="136" spans="1:1" x14ac:dyDescent="0.2">
      <c r="A136" s="345">
        <f>'[1]Beschr-Descr.'!A77</f>
        <v>0</v>
      </c>
    </row>
    <row r="137" spans="1:1" x14ac:dyDescent="0.2">
      <c r="A137" s="345">
        <f>'[1]Beschr-Descr.'!A78</f>
        <v>0</v>
      </c>
    </row>
    <row r="138" spans="1:1" x14ac:dyDescent="0.2">
      <c r="A138" s="345">
        <f>'[1]Beschr-Descr.'!A79</f>
        <v>0</v>
      </c>
    </row>
    <row r="139" spans="1:1" x14ac:dyDescent="0.2">
      <c r="A139" s="345">
        <f>'[1]Beschr-Descr.'!A80</f>
        <v>0</v>
      </c>
    </row>
    <row r="140" spans="1:1" x14ac:dyDescent="0.2">
      <c r="A140" s="345">
        <f>'[1]Beschr-Descr.'!A81</f>
        <v>0</v>
      </c>
    </row>
    <row r="141" spans="1:1" x14ac:dyDescent="0.2">
      <c r="A141" s="345">
        <f>'[1]Beschr-Descr.'!A82</f>
        <v>0</v>
      </c>
    </row>
    <row r="142" spans="1:1" x14ac:dyDescent="0.2">
      <c r="A142" s="345">
        <f>'[1]Beschr-Descr.'!A83</f>
        <v>0</v>
      </c>
    </row>
    <row r="143" spans="1:1" x14ac:dyDescent="0.2">
      <c r="A143" s="345">
        <f>'[1]Beschr-Descr.'!A84</f>
        <v>0</v>
      </c>
    </row>
    <row r="144" spans="1:1" x14ac:dyDescent="0.2">
      <c r="A144" s="345">
        <f>'[1]Beschr-Descr.'!A85</f>
        <v>0</v>
      </c>
    </row>
    <row r="145" spans="1:1" x14ac:dyDescent="0.2">
      <c r="A145" s="345">
        <f>'[1]Beschr-Descr.'!A86</f>
        <v>0</v>
      </c>
    </row>
    <row r="146" spans="1:1" x14ac:dyDescent="0.2">
      <c r="A146" s="345">
        <f>'[1]Beschr-Descr.'!A87</f>
        <v>0</v>
      </c>
    </row>
    <row r="147" spans="1:1" x14ac:dyDescent="0.2">
      <c r="A147" s="345">
        <f>'[1]Beschr-Descr.'!A88</f>
        <v>0</v>
      </c>
    </row>
    <row r="148" spans="1:1" x14ac:dyDescent="0.2">
      <c r="A148" s="345">
        <f>'[1]Beschr-Descr.'!A89</f>
        <v>0</v>
      </c>
    </row>
    <row r="149" spans="1:1" x14ac:dyDescent="0.2">
      <c r="A149" s="345">
        <f>'[1]Beschr-Descr.'!A90</f>
        <v>0</v>
      </c>
    </row>
    <row r="150" spans="1:1" x14ac:dyDescent="0.2">
      <c r="A150" s="345">
        <f>'[1]Beschr-Descr.'!A91</f>
        <v>0</v>
      </c>
    </row>
    <row r="151" spans="1:1" x14ac:dyDescent="0.2">
      <c r="A151" s="345">
        <f>'[1]Beschr-Descr.'!A92</f>
        <v>0</v>
      </c>
    </row>
    <row r="152" spans="1:1" x14ac:dyDescent="0.2">
      <c r="A152" s="345">
        <f>'[1]Beschr-Descr.'!A93</f>
        <v>0</v>
      </c>
    </row>
    <row r="153" spans="1:1" x14ac:dyDescent="0.2">
      <c r="A153" s="345">
        <f>'[1]Beschr-Descr.'!A94</f>
        <v>0</v>
      </c>
    </row>
    <row r="154" spans="1:1" x14ac:dyDescent="0.2">
      <c r="A154" s="345">
        <f>'[1]Beschr-Descr.'!A95</f>
        <v>0</v>
      </c>
    </row>
    <row r="155" spans="1:1" x14ac:dyDescent="0.2">
      <c r="A155" s="345">
        <f>'[1]Beschr-Descr.'!A96</f>
        <v>0</v>
      </c>
    </row>
    <row r="156" spans="1:1" x14ac:dyDescent="0.2">
      <c r="A156" s="345">
        <f>'[1]Beschr-Descr.'!A97</f>
        <v>0</v>
      </c>
    </row>
    <row r="157" spans="1:1" x14ac:dyDescent="0.2">
      <c r="A157" s="345">
        <f>'[1]Beschr-Descr.'!A98</f>
        <v>0</v>
      </c>
    </row>
    <row r="158" spans="1:1" x14ac:dyDescent="0.2">
      <c r="A158" s="345">
        <f>'[1]Beschr-Descr.'!A99</f>
        <v>0</v>
      </c>
    </row>
    <row r="159" spans="1:1" x14ac:dyDescent="0.2">
      <c r="A159" s="345">
        <f>'[1]Beschr-Descr.'!A100</f>
        <v>0</v>
      </c>
    </row>
    <row r="160" spans="1:1" x14ac:dyDescent="0.2">
      <c r="A160" s="345">
        <f>'[1]Beschr-Descr.'!A101</f>
        <v>0</v>
      </c>
    </row>
    <row r="161" spans="1:1" x14ac:dyDescent="0.2">
      <c r="A161" s="345">
        <f>'[1]Beschr-Descr.'!A102</f>
        <v>0</v>
      </c>
    </row>
  </sheetData>
  <mergeCells count="70">
    <mergeCell ref="N58:O58"/>
    <mergeCell ref="N59:O59"/>
    <mergeCell ref="N60:O60"/>
    <mergeCell ref="J54:O54"/>
    <mergeCell ref="J57:O57"/>
    <mergeCell ref="N55:O55"/>
    <mergeCell ref="N56:O56"/>
    <mergeCell ref="A28:C28"/>
    <mergeCell ref="S41:S43"/>
    <mergeCell ref="E46:F46"/>
    <mergeCell ref="E43:F43"/>
    <mergeCell ref="E44:F44"/>
    <mergeCell ref="E45:F45"/>
    <mergeCell ref="A26:C26"/>
    <mergeCell ref="A27:C27"/>
    <mergeCell ref="A19:C19"/>
    <mergeCell ref="A24:C24"/>
    <mergeCell ref="A25:C25"/>
    <mergeCell ref="A20:C20"/>
    <mergeCell ref="A21:C21"/>
    <mergeCell ref="A22:C22"/>
    <mergeCell ref="A23:C23"/>
    <mergeCell ref="E59:F59"/>
    <mergeCell ref="E54:F54"/>
    <mergeCell ref="E58:F58"/>
    <mergeCell ref="E55:F55"/>
    <mergeCell ref="E56:F56"/>
    <mergeCell ref="E57:F57"/>
    <mergeCell ref="E9:F9"/>
    <mergeCell ref="E18:F18"/>
    <mergeCell ref="E12:F12"/>
    <mergeCell ref="E15:F15"/>
    <mergeCell ref="E16:F16"/>
    <mergeCell ref="E13:F13"/>
    <mergeCell ref="E14:F14"/>
    <mergeCell ref="U53:U54"/>
    <mergeCell ref="N50:N51"/>
    <mergeCell ref="O50:O51"/>
    <mergeCell ref="T53:T54"/>
    <mergeCell ref="E3:F3"/>
    <mergeCell ref="E7:F7"/>
    <mergeCell ref="E5:F5"/>
    <mergeCell ref="E8:F8"/>
    <mergeCell ref="E50:F50"/>
    <mergeCell ref="E51:F51"/>
    <mergeCell ref="E52:F52"/>
    <mergeCell ref="O10:O18"/>
    <mergeCell ref="Q53:R53"/>
    <mergeCell ref="S53:S54"/>
    <mergeCell ref="N10:N18"/>
    <mergeCell ref="E11:F11"/>
    <mergeCell ref="E48:F48"/>
    <mergeCell ref="U41:U43"/>
    <mergeCell ref="Q41:R42"/>
    <mergeCell ref="T41:T43"/>
    <mergeCell ref="E49:F49"/>
    <mergeCell ref="E47:F47"/>
    <mergeCell ref="J52:O52"/>
    <mergeCell ref="Q5:S6"/>
    <mergeCell ref="Q7:S8"/>
    <mergeCell ref="J1:O1"/>
    <mergeCell ref="J8:O9"/>
    <mergeCell ref="J10:J18"/>
    <mergeCell ref="K10:K18"/>
    <mergeCell ref="M10:M18"/>
    <mergeCell ref="Q10:S11"/>
    <mergeCell ref="K50:K51"/>
    <mergeCell ref="M50:M51"/>
    <mergeCell ref="L10:L18"/>
    <mergeCell ref="L50:L51"/>
  </mergeCells>
  <phoneticPr fontId="2" type="noConversion"/>
  <dataValidations count="2">
    <dataValidation type="list" allowBlank="1" showInputMessage="1" showErrorMessage="1" sqref="E19:E28" xr:uid="{00000000-0002-0000-0A00-000000000000}">
      <formula1>$F$67:$F$70</formula1>
    </dataValidation>
    <dataValidation type="list" allowBlank="1" showInputMessage="1" showErrorMessage="1" sqref="A19:C28" xr:uid="{00000000-0002-0000-0A00-000001000000}">
      <formula1>$A$67:$A$149</formula1>
    </dataValidation>
  </dataValidations>
  <printOptions horizontalCentered="1" verticalCentered="1"/>
  <pageMargins left="0.19685039370078741" right="0.19685039370078741" top="0.39370078740157483" bottom="0.39370078740157483" header="0" footer="0.19685039370078741"/>
  <pageSetup paperSize="9" orientation="portrait" r:id="rId1"/>
  <headerFooter alignWithMargins="0">
    <oddFooter>&amp;C&amp;"Calibri,Standard"Lohnberechnung FRINO PRO 2017 von Dr. Friedrich Nöckler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2292" r:id="rId4" name="Drop Down 4">
              <controlPr defaultSize="0" print="0" autoLine="0" autoPict="0">
                <anchor moveWithCells="1">
                  <from>
                    <xdr:col>5</xdr:col>
                    <xdr:colOff>371475</xdr:colOff>
                    <xdr:row>2</xdr:row>
                    <xdr:rowOff>9525</xdr:rowOff>
                  </from>
                  <to>
                    <xdr:col>8</xdr:col>
                    <xdr:colOff>514350</xdr:colOff>
                    <xdr:row>3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12"/>
  <dimension ref="A1:Z161"/>
  <sheetViews>
    <sheetView showGridLines="0" showZeros="0" zoomScaleNormal="100" workbookViewId="0"/>
  </sheetViews>
  <sheetFormatPr baseColWidth="10" defaultColWidth="11.42578125" defaultRowHeight="12.75" x14ac:dyDescent="0.2"/>
  <cols>
    <col min="1" max="1" width="11.28515625" style="345" customWidth="1"/>
    <col min="2" max="2" width="11.7109375" style="345" customWidth="1"/>
    <col min="3" max="3" width="10.85546875" style="345" customWidth="1"/>
    <col min="4" max="4" width="11.28515625" style="345" customWidth="1"/>
    <col min="5" max="5" width="5.42578125" style="345" customWidth="1"/>
    <col min="6" max="6" width="6" style="345" customWidth="1"/>
    <col min="7" max="7" width="11.140625" style="345" customWidth="1"/>
    <col min="8" max="8" width="9.85546875" style="345" customWidth="1"/>
    <col min="9" max="9" width="9.140625" style="345" customWidth="1"/>
    <col min="10" max="10" width="2.5703125" style="277" customWidth="1"/>
    <col min="11" max="15" width="2.140625" style="345" customWidth="1"/>
    <col min="16" max="16" width="2.28515625" style="345" customWidth="1"/>
    <col min="17" max="17" width="11.28515625" style="345" customWidth="1"/>
    <col min="18" max="18" width="10.7109375" style="345" customWidth="1"/>
    <col min="19" max="19" width="9" style="345" bestFit="1" customWidth="1"/>
    <col min="20" max="20" width="11.28515625" style="345" bestFit="1" customWidth="1"/>
    <col min="21" max="21" width="8.5703125" style="345" bestFit="1" customWidth="1"/>
    <col min="22" max="24" width="10.7109375" style="345" customWidth="1"/>
    <col min="25" max="16384" width="11.42578125" style="345"/>
  </cols>
  <sheetData>
    <row r="1" spans="1:26" s="144" customFormat="1" ht="16.5" customHeight="1" x14ac:dyDescent="0.2">
      <c r="A1" s="316" t="s">
        <v>106</v>
      </c>
      <c r="B1" s="317"/>
      <c r="C1" s="317"/>
      <c r="D1" s="317"/>
      <c r="E1" s="317"/>
      <c r="F1" s="317"/>
      <c r="G1" s="317"/>
      <c r="H1" s="317"/>
      <c r="I1" s="318" t="s">
        <v>47</v>
      </c>
      <c r="J1" s="473">
        <f>[1]Firma!$A$21</f>
        <v>45597</v>
      </c>
      <c r="K1" s="473"/>
      <c r="L1" s="473"/>
      <c r="M1" s="473"/>
      <c r="N1" s="473"/>
      <c r="O1" s="474"/>
      <c r="P1" s="143"/>
      <c r="Q1" s="143"/>
      <c r="R1" s="143"/>
      <c r="S1" s="143"/>
      <c r="T1" s="143"/>
      <c r="U1" s="143"/>
      <c r="V1" s="143"/>
      <c r="W1" s="143"/>
      <c r="X1" s="143"/>
      <c r="Y1" s="143"/>
      <c r="Z1" s="143"/>
    </row>
    <row r="2" spans="1:26" s="124" customFormat="1" ht="12.75" customHeight="1" x14ac:dyDescent="0.2">
      <c r="A2" s="199" t="s">
        <v>107</v>
      </c>
      <c r="B2" s="200"/>
      <c r="C2" s="200"/>
      <c r="D2" s="201"/>
      <c r="E2" s="188" t="s">
        <v>132</v>
      </c>
      <c r="F2" s="202"/>
      <c r="G2" s="200"/>
      <c r="H2" s="200"/>
      <c r="I2" s="203"/>
      <c r="J2" s="302"/>
      <c r="K2" s="201"/>
      <c r="L2" s="201"/>
      <c r="M2" s="201"/>
      <c r="N2" s="200"/>
      <c r="O2" s="303"/>
      <c r="P2" s="121"/>
      <c r="Q2" s="121"/>
      <c r="R2" s="121"/>
      <c r="S2" s="121"/>
      <c r="T2" s="121"/>
      <c r="U2" s="121"/>
      <c r="V2" s="121"/>
      <c r="W2" s="121"/>
      <c r="X2" s="121"/>
      <c r="Y2" s="121"/>
      <c r="Z2" s="121"/>
    </row>
    <row r="3" spans="1:26" ht="16.899999999999999" customHeight="1" x14ac:dyDescent="0.2">
      <c r="A3" s="88" t="s">
        <v>100</v>
      </c>
      <c r="B3" s="83" t="str">
        <f>[1]Firma!$A$4</f>
        <v>Asues GmbH</v>
      </c>
      <c r="C3" s="341"/>
      <c r="D3" s="341"/>
      <c r="E3" s="555" t="s">
        <v>126</v>
      </c>
      <c r="F3" s="556"/>
      <c r="G3" s="341" t="str">
        <f>VLOOKUP(P3,'[1]Mit-1'!$A$5:$B$19,2,FALSE)</f>
        <v>AAAAA BBBBB</v>
      </c>
      <c r="H3" s="341"/>
      <c r="I3" s="342"/>
      <c r="J3" s="304"/>
      <c r="K3" s="343"/>
      <c r="L3" s="343"/>
      <c r="M3" s="343"/>
      <c r="N3" s="343"/>
      <c r="O3" s="344"/>
      <c r="P3" s="343">
        <v>1</v>
      </c>
      <c r="Q3" s="341"/>
      <c r="R3" s="341"/>
      <c r="S3" s="341"/>
      <c r="T3" s="341"/>
      <c r="U3" s="341"/>
      <c r="V3" s="341"/>
      <c r="W3" s="341"/>
      <c r="X3" s="341"/>
      <c r="Y3" s="341"/>
      <c r="Z3" s="341"/>
    </row>
    <row r="4" spans="1:26" ht="10.5" customHeight="1" x14ac:dyDescent="0.2">
      <c r="A4" s="87" t="s">
        <v>101</v>
      </c>
      <c r="B4" s="30" t="str">
        <f>[1]Firma!$B$4</f>
        <v>Josef-Ferrari-Straße 12; 39031 Bruneck (BZ)</v>
      </c>
      <c r="C4" s="30"/>
      <c r="D4" s="30"/>
      <c r="E4" s="187" t="s">
        <v>127</v>
      </c>
      <c r="G4" s="30" t="str">
        <f>VLOOKUP($P$3,'[1]Mit-1'!$A$5:$U$19,3,FALSE)</f>
        <v>Michael-Pacher-Straße 10, 39031 Bruneck</v>
      </c>
      <c r="I4" s="344"/>
      <c r="N4" s="341"/>
      <c r="O4" s="342"/>
      <c r="P4" s="341"/>
      <c r="V4" s="341"/>
      <c r="W4" s="341"/>
      <c r="X4" s="341"/>
      <c r="Y4" s="341"/>
      <c r="Z4" s="341"/>
    </row>
    <row r="5" spans="1:26" ht="16.899999999999999" customHeight="1" x14ac:dyDescent="0.2">
      <c r="A5" s="88" t="s">
        <v>102</v>
      </c>
      <c r="B5" s="288" t="str">
        <f>[1]Firma!$C$4</f>
        <v>IT09997110213</v>
      </c>
      <c r="C5" s="30"/>
      <c r="D5" s="30"/>
      <c r="E5" s="555" t="s">
        <v>103</v>
      </c>
      <c r="F5" s="556"/>
      <c r="G5" s="30" t="str">
        <f>VLOOKUP($P$3,'[1]Mit-1'!$A$5:$U$19,6,FALSE)</f>
        <v>AAABBB84B11B220G</v>
      </c>
      <c r="I5" s="342"/>
      <c r="K5" s="341"/>
      <c r="L5" s="341"/>
      <c r="M5" s="341"/>
      <c r="N5" s="341"/>
      <c r="O5" s="342"/>
      <c r="P5" s="341"/>
      <c r="Q5" s="604" t="s">
        <v>251</v>
      </c>
      <c r="R5" s="605"/>
      <c r="S5" s="606"/>
      <c r="T5" s="341"/>
      <c r="U5" s="341"/>
      <c r="V5" s="341"/>
      <c r="W5" s="341"/>
      <c r="X5" s="341"/>
      <c r="Y5" s="341"/>
      <c r="Z5" s="341"/>
    </row>
    <row r="6" spans="1:26" ht="16.899999999999999" customHeight="1" x14ac:dyDescent="0.2">
      <c r="A6" s="88" t="s">
        <v>103</v>
      </c>
      <c r="B6" s="288" t="str">
        <f>[1]Firma!$D$4</f>
        <v>09997110213</v>
      </c>
      <c r="C6" s="30"/>
      <c r="D6" s="30"/>
      <c r="E6" s="187" t="s">
        <v>128</v>
      </c>
      <c r="G6" s="149">
        <f>VLOOKUP($P$3,'[1]Mit-1'!$A$28:$C$42,3,FALSE)</f>
        <v>1</v>
      </c>
      <c r="H6" s="89" t="s">
        <v>9</v>
      </c>
      <c r="I6" s="54">
        <f>VLOOKUP($P$3,'[1]Mit-1'!$A$5:$U$19,7,FALSE)</f>
        <v>45597</v>
      </c>
      <c r="N6" s="341"/>
      <c r="O6" s="342"/>
      <c r="P6" s="341"/>
      <c r="Q6" s="607"/>
      <c r="R6" s="608"/>
      <c r="S6" s="609"/>
      <c r="T6" s="341"/>
      <c r="U6" s="341"/>
      <c r="V6" s="341"/>
      <c r="W6" s="341"/>
      <c r="X6" s="341"/>
      <c r="Y6" s="341"/>
      <c r="Z6" s="341"/>
    </row>
    <row r="7" spans="1:26" ht="16.899999999999999" customHeight="1" x14ac:dyDescent="0.2">
      <c r="A7" s="87" t="s">
        <v>104</v>
      </c>
      <c r="B7" s="288" t="str">
        <f>[1]Firma!$E$4</f>
        <v>1420030006</v>
      </c>
      <c r="C7" s="30"/>
      <c r="D7" s="30"/>
      <c r="E7" s="555" t="s">
        <v>129</v>
      </c>
      <c r="F7" s="556"/>
      <c r="G7" s="36">
        <f>VLOOKUP($P$3,'[1]Mit-1'!$A$5:$U$19,4,FALSE)</f>
        <v>30723</v>
      </c>
      <c r="H7" s="90" t="s">
        <v>10</v>
      </c>
      <c r="I7" s="53" t="str">
        <f>VLOOKUP($P$3,'[1]Mit-1'!$A$5:$U$19,5,FALSE)</f>
        <v>Bruneck</v>
      </c>
      <c r="N7" s="341"/>
      <c r="O7" s="342"/>
      <c r="P7" s="341"/>
      <c r="Q7" s="610" t="s">
        <v>134</v>
      </c>
      <c r="R7" s="611"/>
      <c r="S7" s="612"/>
      <c r="T7" s="341"/>
      <c r="U7" s="341"/>
      <c r="V7" s="341"/>
      <c r="W7" s="341"/>
      <c r="X7" s="341"/>
      <c r="Y7" s="341"/>
      <c r="Z7" s="341"/>
    </row>
    <row r="8" spans="1:26" ht="16.899999999999999" customHeight="1" x14ac:dyDescent="0.2">
      <c r="A8" s="87" t="s">
        <v>105</v>
      </c>
      <c r="B8" s="288" t="str">
        <f>[1]Firma!$F$4</f>
        <v>13625</v>
      </c>
      <c r="C8" s="30"/>
      <c r="D8" s="30"/>
      <c r="E8" s="555" t="s">
        <v>130</v>
      </c>
      <c r="F8" s="556"/>
      <c r="G8" s="149">
        <f>VLOOKUP($P$3,'[1]Mit-2'!$A$5:$P$19,14,FALSE)</f>
        <v>2</v>
      </c>
      <c r="H8" s="91" t="s">
        <v>231</v>
      </c>
      <c r="I8" s="150">
        <f>VLOOKUP($P$3,'[1]Mit-2'!$A$46:$AD$60,28,FALSE)</f>
        <v>0</v>
      </c>
      <c r="J8" s="475" t="s">
        <v>226</v>
      </c>
      <c r="K8" s="476"/>
      <c r="L8" s="476"/>
      <c r="M8" s="476"/>
      <c r="N8" s="476"/>
      <c r="O8" s="477"/>
      <c r="P8" s="341"/>
      <c r="Q8" s="610"/>
      <c r="R8" s="611"/>
      <c r="S8" s="612"/>
      <c r="T8" s="341"/>
      <c r="U8" s="341"/>
      <c r="V8" s="341"/>
      <c r="W8" s="341"/>
      <c r="X8" s="341"/>
      <c r="Y8" s="341"/>
      <c r="Z8" s="341"/>
    </row>
    <row r="9" spans="1:26" ht="16.899999999999999" customHeight="1" x14ac:dyDescent="0.2">
      <c r="A9" s="346"/>
      <c r="B9" s="343"/>
      <c r="C9" s="343"/>
      <c r="D9" s="343"/>
      <c r="E9" s="555" t="s">
        <v>131</v>
      </c>
      <c r="F9" s="556"/>
      <c r="G9" s="447">
        <f>VLOOKUP($P$3,'[1]Mit-2'!$A$5:$AD$19,28,FALSE)</f>
        <v>100</v>
      </c>
      <c r="H9" s="90" t="s">
        <v>232</v>
      </c>
      <c r="I9" s="429"/>
      <c r="J9" s="478"/>
      <c r="K9" s="479"/>
      <c r="L9" s="479"/>
      <c r="M9" s="479"/>
      <c r="N9" s="479"/>
      <c r="O9" s="480"/>
      <c r="P9" s="341"/>
      <c r="Q9" s="347"/>
      <c r="R9" s="431"/>
      <c r="S9" s="342"/>
      <c r="T9" s="348">
        <f>[1]Firma!$B$21</f>
        <v>30</v>
      </c>
      <c r="U9" s="341"/>
      <c r="V9" s="341"/>
      <c r="W9" s="341"/>
      <c r="X9" s="341"/>
      <c r="Y9" s="341"/>
      <c r="Z9" s="341"/>
    </row>
    <row r="10" spans="1:26" ht="10.9" customHeight="1" x14ac:dyDescent="0.2">
      <c r="A10" s="189" t="s">
        <v>108</v>
      </c>
      <c r="B10" s="349"/>
      <c r="C10" s="349"/>
      <c r="D10" s="349"/>
      <c r="E10" s="349"/>
      <c r="F10" s="349"/>
      <c r="G10" s="349"/>
      <c r="H10" s="349"/>
      <c r="I10" s="350"/>
      <c r="J10" s="481" t="s">
        <v>227</v>
      </c>
      <c r="K10" s="484" t="s">
        <v>228</v>
      </c>
      <c r="L10" s="487" t="s">
        <v>229</v>
      </c>
      <c r="M10" s="487" t="s">
        <v>264</v>
      </c>
      <c r="N10" s="487" t="s">
        <v>265</v>
      </c>
      <c r="O10" s="557" t="s">
        <v>266</v>
      </c>
      <c r="P10" s="341"/>
      <c r="Q10" s="538" t="s">
        <v>207</v>
      </c>
      <c r="R10" s="539"/>
      <c r="S10" s="540"/>
      <c r="T10" s="341"/>
      <c r="U10" s="341"/>
      <c r="V10" s="341"/>
      <c r="W10" s="341"/>
      <c r="X10" s="341"/>
      <c r="Y10" s="341"/>
      <c r="Z10" s="341"/>
    </row>
    <row r="11" spans="1:26" s="94" customFormat="1" ht="13.9" customHeight="1" x14ac:dyDescent="0.15">
      <c r="A11" s="181" t="s">
        <v>16</v>
      </c>
      <c r="B11" s="182" t="s">
        <v>11</v>
      </c>
      <c r="C11" s="182" t="s">
        <v>12</v>
      </c>
      <c r="D11" s="182" t="s">
        <v>13</v>
      </c>
      <c r="E11" s="544" t="s">
        <v>14</v>
      </c>
      <c r="F11" s="545"/>
      <c r="G11" s="182" t="s">
        <v>15</v>
      </c>
      <c r="H11" s="183" t="s">
        <v>218</v>
      </c>
      <c r="I11" s="186"/>
      <c r="J11" s="482"/>
      <c r="K11" s="485"/>
      <c r="L11" s="488"/>
      <c r="M11" s="488"/>
      <c r="N11" s="488"/>
      <c r="O11" s="558"/>
      <c r="P11" s="93"/>
      <c r="Q11" s="541"/>
      <c r="R11" s="542"/>
      <c r="S11" s="543"/>
      <c r="T11" s="93"/>
      <c r="U11" s="93"/>
      <c r="V11" s="93"/>
      <c r="W11" s="93"/>
      <c r="X11" s="93"/>
      <c r="Y11" s="93"/>
      <c r="Z11" s="93"/>
    </row>
    <row r="12" spans="1:26" x14ac:dyDescent="0.2">
      <c r="A12" s="351">
        <f>VLOOKUP($G$8,'[1]Lohntab-Tab-retr.'!$A$7:$O$15,13,FALSE)</f>
        <v>1477.83</v>
      </c>
      <c r="B12" s="352">
        <f>VLOOKUP($G$8,'[1]Lohntab-Tab-retr.'!$A$21:$O$29,13,FALSE)</f>
        <v>532.54</v>
      </c>
      <c r="C12" s="352">
        <f>I8*VLOOKUP($G$8,'[1]Lohntab-Tab-retr.'!$A$63:$O$71,13,FALSE)</f>
        <v>0</v>
      </c>
      <c r="D12" s="352">
        <f>VLOOKUP($G$8,'[1]Lohntab-Tab-retr.'!$A$35:$O$43,13,FALSE)</f>
        <v>0</v>
      </c>
      <c r="E12" s="602">
        <f>VLOOKUP($G$8,'[1]Lohntab-Tab-retr.'!$A$49:$O$57,13,FALSE)</f>
        <v>8</v>
      </c>
      <c r="F12" s="602"/>
      <c r="G12" s="352">
        <f>VLOOKUP($P$3,'[1]Mit-2'!$A$24:$P$38,14,FALSE)</f>
        <v>0</v>
      </c>
      <c r="H12" s="352">
        <f>VLOOKUP($G$8,'[1]Lohntab-Tab-retr.'!$A$77:$O$85,13,FALSE)</f>
        <v>0</v>
      </c>
      <c r="I12" s="353"/>
      <c r="J12" s="482"/>
      <c r="K12" s="485"/>
      <c r="L12" s="488"/>
      <c r="M12" s="488"/>
      <c r="N12" s="488"/>
      <c r="O12" s="558"/>
      <c r="P12" s="341"/>
      <c r="Q12" s="341"/>
      <c r="R12" s="341"/>
      <c r="S12" s="341"/>
      <c r="T12" s="341"/>
      <c r="U12" s="341"/>
      <c r="V12" s="341"/>
      <c r="W12" s="341"/>
      <c r="X12" s="341"/>
      <c r="Y12" s="341"/>
      <c r="Z12" s="341"/>
    </row>
    <row r="13" spans="1:26" s="94" customFormat="1" ht="13.9" customHeight="1" x14ac:dyDescent="0.15">
      <c r="A13" s="168" t="s">
        <v>17</v>
      </c>
      <c r="B13" s="169" t="s">
        <v>18</v>
      </c>
      <c r="C13" s="169" t="s">
        <v>19</v>
      </c>
      <c r="D13" s="169" t="s">
        <v>20</v>
      </c>
      <c r="E13" s="561" t="s">
        <v>24</v>
      </c>
      <c r="F13" s="562"/>
      <c r="G13" s="169" t="s">
        <v>23</v>
      </c>
      <c r="H13" s="170" t="s">
        <v>21</v>
      </c>
      <c r="I13" s="177" t="s">
        <v>22</v>
      </c>
      <c r="J13" s="482"/>
      <c r="K13" s="485"/>
      <c r="L13" s="488"/>
      <c r="M13" s="488"/>
      <c r="N13" s="488"/>
      <c r="O13" s="558"/>
      <c r="P13" s="93"/>
      <c r="Q13" s="93"/>
      <c r="R13" s="93"/>
      <c r="S13" s="93"/>
      <c r="T13" s="93"/>
      <c r="U13" s="93"/>
      <c r="V13" s="93"/>
      <c r="W13" s="93"/>
      <c r="X13" s="93"/>
      <c r="Y13" s="93"/>
      <c r="Z13" s="93"/>
    </row>
    <row r="14" spans="1:26" x14ac:dyDescent="0.2">
      <c r="A14" s="354">
        <f>[1]Tab!G140</f>
        <v>168</v>
      </c>
      <c r="B14" s="355">
        <f>[1]Tab!G141</f>
        <v>26</v>
      </c>
      <c r="C14" s="313">
        <f>ROUND(I14/A14,5)</f>
        <v>12.014110000000001</v>
      </c>
      <c r="D14" s="313">
        <f>ROUND(I14/B14,5)</f>
        <v>77.629620000000003</v>
      </c>
      <c r="E14" s="603">
        <f>COUNT(K19:K49)</f>
        <v>0</v>
      </c>
      <c r="F14" s="603"/>
      <c r="G14" s="355">
        <f>K50</f>
        <v>0</v>
      </c>
      <c r="H14" s="355">
        <v>26</v>
      </c>
      <c r="I14" s="180">
        <f>SUM(A12:I12)</f>
        <v>2018.37</v>
      </c>
      <c r="J14" s="482"/>
      <c r="K14" s="485"/>
      <c r="L14" s="488"/>
      <c r="M14" s="488"/>
      <c r="N14" s="488"/>
      <c r="O14" s="558"/>
      <c r="P14" s="356"/>
      <c r="Q14" s="356"/>
      <c r="R14" s="356"/>
      <c r="S14" s="356"/>
      <c r="T14" s="356"/>
      <c r="U14" s="356"/>
      <c r="V14" s="356"/>
      <c r="W14" s="356"/>
      <c r="X14" s="356"/>
      <c r="Y14" s="356"/>
      <c r="Z14" s="356"/>
    </row>
    <row r="15" spans="1:26" s="94" customFormat="1" ht="13.9" customHeight="1" x14ac:dyDescent="0.15">
      <c r="A15" s="174" t="s">
        <v>26</v>
      </c>
      <c r="B15" s="175" t="s">
        <v>27</v>
      </c>
      <c r="C15" s="175" t="s">
        <v>25</v>
      </c>
      <c r="D15" s="175" t="s">
        <v>259</v>
      </c>
      <c r="E15" s="564" t="s">
        <v>260</v>
      </c>
      <c r="F15" s="565"/>
      <c r="G15" s="175" t="s">
        <v>261</v>
      </c>
      <c r="H15" s="146"/>
      <c r="I15" s="176"/>
      <c r="J15" s="482"/>
      <c r="K15" s="485"/>
      <c r="L15" s="488"/>
      <c r="M15" s="488"/>
      <c r="N15" s="488"/>
      <c r="O15" s="558"/>
      <c r="P15" s="93"/>
      <c r="Q15" s="93"/>
      <c r="R15" s="93"/>
      <c r="S15" s="93"/>
      <c r="T15" s="93"/>
      <c r="U15" s="93"/>
      <c r="V15" s="93"/>
      <c r="W15" s="93"/>
      <c r="X15" s="93"/>
      <c r="Y15" s="93"/>
      <c r="Z15" s="93"/>
    </row>
    <row r="16" spans="1:26" x14ac:dyDescent="0.2">
      <c r="A16" s="440">
        <f>'10'!A16+(VLOOKUP($P$3,'[1]Mit-2'!$A$90:$P$104,14,FALSE))*G9%</f>
        <v>0</v>
      </c>
      <c r="B16" s="438">
        <f>M50</f>
        <v>0</v>
      </c>
      <c r="C16" s="438">
        <f>A16-B16</f>
        <v>0</v>
      </c>
      <c r="D16" s="438">
        <f>'10'!D16+(VLOOKUP($P$3,'[1]Mit-2'!$A$90:$AD$104,28,FALSE))*G9%</f>
        <v>0</v>
      </c>
      <c r="E16" s="537">
        <f>N50</f>
        <v>0</v>
      </c>
      <c r="F16" s="537"/>
      <c r="G16" s="438">
        <f>D16-E16</f>
        <v>0</v>
      </c>
      <c r="H16" s="147"/>
      <c r="I16" s="185"/>
      <c r="J16" s="482"/>
      <c r="K16" s="485"/>
      <c r="L16" s="488"/>
      <c r="M16" s="488"/>
      <c r="N16" s="488"/>
      <c r="O16" s="558"/>
      <c r="P16" s="356"/>
      <c r="Q16" s="356"/>
      <c r="R16" s="356"/>
      <c r="S16" s="356"/>
      <c r="T16" s="356"/>
      <c r="U16" s="356"/>
      <c r="V16" s="356"/>
      <c r="W16" s="356"/>
      <c r="X16" s="356"/>
      <c r="Y16" s="356"/>
      <c r="Z16" s="356"/>
    </row>
    <row r="17" spans="1:26" ht="3.75" customHeight="1" x14ac:dyDescent="0.2">
      <c r="A17" s="357"/>
      <c r="B17" s="358"/>
      <c r="C17" s="358"/>
      <c r="D17" s="358"/>
      <c r="E17" s="358"/>
      <c r="F17" s="358"/>
      <c r="G17" s="358"/>
      <c r="H17" s="358"/>
      <c r="I17" s="359"/>
      <c r="J17" s="482"/>
      <c r="K17" s="485"/>
      <c r="L17" s="488"/>
      <c r="M17" s="488"/>
      <c r="N17" s="488"/>
      <c r="O17" s="558"/>
      <c r="P17" s="341"/>
      <c r="Q17" s="341"/>
      <c r="R17" s="341"/>
      <c r="S17" s="341"/>
      <c r="T17" s="341"/>
      <c r="U17" s="341"/>
      <c r="V17" s="341"/>
      <c r="W17" s="341"/>
      <c r="X17" s="341"/>
      <c r="Y17" s="341"/>
      <c r="Z17" s="341"/>
    </row>
    <row r="18" spans="1:26" s="92" customFormat="1" ht="16.899999999999999" customHeight="1" x14ac:dyDescent="0.15">
      <c r="A18" s="162" t="s">
        <v>28</v>
      </c>
      <c r="B18" s="163"/>
      <c r="C18" s="163"/>
      <c r="D18" s="96"/>
      <c r="E18" s="535" t="s">
        <v>29</v>
      </c>
      <c r="F18" s="536"/>
      <c r="G18" s="99" t="s">
        <v>31</v>
      </c>
      <c r="H18" s="86" t="s">
        <v>30</v>
      </c>
      <c r="I18" s="100" t="s">
        <v>233</v>
      </c>
      <c r="J18" s="483"/>
      <c r="K18" s="486"/>
      <c r="L18" s="489"/>
      <c r="M18" s="489"/>
      <c r="N18" s="489"/>
      <c r="O18" s="559"/>
      <c r="P18" s="97"/>
      <c r="V18" s="98"/>
      <c r="W18" s="98"/>
      <c r="X18" s="98"/>
      <c r="Y18" s="97"/>
      <c r="Z18" s="97"/>
    </row>
    <row r="19" spans="1:26" ht="12" customHeight="1" x14ac:dyDescent="0.2">
      <c r="A19" s="633"/>
      <c r="B19" s="634"/>
      <c r="C19" s="634"/>
      <c r="D19" s="423"/>
      <c r="E19" s="418"/>
      <c r="F19" s="424"/>
      <c r="G19" s="360">
        <f>VLOOKUP(A19,A66:F121,5,FALSE)</f>
        <v>0</v>
      </c>
      <c r="H19" s="325">
        <f>IF(E19="",0,IF(A19="",0,IF(E19="Std-ore",ROUND(C$14+C$14*G19,5),IF(E19="Tage-gg.",ROUND(D$14+D$14*G19,5),IF(E19="Monat-mese",ROUND($I$14+$I$14*G19,2))))))</f>
        <v>0</v>
      </c>
      <c r="I19" s="151">
        <f>ROUND(H19*F19,2)</f>
        <v>0</v>
      </c>
      <c r="J19" s="305">
        <v>1</v>
      </c>
      <c r="K19" s="409"/>
      <c r="L19" s="410"/>
      <c r="M19" s="410"/>
      <c r="N19" s="410"/>
      <c r="O19" s="411"/>
      <c r="P19" s="6"/>
      <c r="V19" s="341"/>
      <c r="W19" s="341"/>
      <c r="X19" s="341"/>
      <c r="Y19" s="7"/>
      <c r="Z19" s="6"/>
    </row>
    <row r="20" spans="1:26" ht="12" customHeight="1" x14ac:dyDescent="0.2">
      <c r="A20" s="613"/>
      <c r="B20" s="614"/>
      <c r="C20" s="614"/>
      <c r="D20" s="425"/>
      <c r="E20" s="421"/>
      <c r="F20" s="426"/>
      <c r="G20" s="360">
        <f>VLOOKUP(A20,A67:F122,5,FALSE)</f>
        <v>0</v>
      </c>
      <c r="H20" s="325">
        <f t="shared" ref="H20:H28" si="0">IF(E20="",0,IF(A20="",0,IF(E20="Std-ore",ROUND(C$14+C$14*G20,5),IF(E20="Tage-gg.",ROUND(D$14+D$14*G20,5),IF(E20="Monat-mese",ROUND($I$14+$I$14*G20,2))))))</f>
        <v>0</v>
      </c>
      <c r="I20" s="152">
        <f t="shared" ref="I20:I28" si="1">IF(A20="Abzug Bruttoberechnung Krankengeld INPS",ROUND(I19*G20,2),ROUND(H20*F20,2))</f>
        <v>0</v>
      </c>
      <c r="J20" s="306">
        <v>2</v>
      </c>
      <c r="K20" s="412"/>
      <c r="L20" s="413"/>
      <c r="M20" s="413"/>
      <c r="N20" s="413"/>
      <c r="O20" s="414"/>
      <c r="P20" s="6"/>
      <c r="V20" s="28"/>
      <c r="W20" s="6"/>
    </row>
    <row r="21" spans="1:26" ht="12" customHeight="1" x14ac:dyDescent="0.2">
      <c r="A21" s="613"/>
      <c r="B21" s="614"/>
      <c r="C21" s="614"/>
      <c r="D21" s="425"/>
      <c r="E21" s="421"/>
      <c r="F21" s="426"/>
      <c r="G21" s="360">
        <f>VLOOKUP(A21,A66:F121,5,FALSE)</f>
        <v>0</v>
      </c>
      <c r="H21" s="325">
        <f t="shared" si="0"/>
        <v>0</v>
      </c>
      <c r="I21" s="152">
        <f t="shared" si="1"/>
        <v>0</v>
      </c>
      <c r="J21" s="306">
        <v>3</v>
      </c>
      <c r="K21" s="412"/>
      <c r="L21" s="413"/>
      <c r="M21" s="413"/>
      <c r="N21" s="413"/>
      <c r="O21" s="414"/>
      <c r="P21" s="6"/>
      <c r="V21" s="28"/>
      <c r="W21" s="6"/>
    </row>
    <row r="22" spans="1:26" ht="12" customHeight="1" x14ac:dyDescent="0.2">
      <c r="A22" s="613"/>
      <c r="B22" s="614"/>
      <c r="C22" s="614"/>
      <c r="D22" s="425"/>
      <c r="E22" s="421"/>
      <c r="F22" s="426"/>
      <c r="G22" s="360">
        <f>VLOOKUP(A22,A67:F122,5,FALSE)</f>
        <v>0</v>
      </c>
      <c r="H22" s="325">
        <f>IF(E22="",0,IF(A22="",0,IF(E22="Std-ore",ROUND(C$14+C$14*G22,5),IF(E22="Tage-gg.",ROUND(D$14+D$14*G22,5),IF(E22="Monat-mese",ROUND($I$14+$I$14*G22,2))))))</f>
        <v>0</v>
      </c>
      <c r="I22" s="152">
        <f t="shared" si="1"/>
        <v>0</v>
      </c>
      <c r="J22" s="306">
        <v>4</v>
      </c>
      <c r="K22" s="412"/>
      <c r="L22" s="413"/>
      <c r="M22" s="413"/>
      <c r="N22" s="413"/>
      <c r="O22" s="414"/>
      <c r="P22" s="6"/>
      <c r="V22" s="28"/>
      <c r="W22" s="6"/>
    </row>
    <row r="23" spans="1:26" ht="12" customHeight="1" x14ac:dyDescent="0.2">
      <c r="A23" s="613"/>
      <c r="B23" s="614"/>
      <c r="C23" s="614"/>
      <c r="D23" s="425"/>
      <c r="E23" s="421"/>
      <c r="F23" s="426"/>
      <c r="G23" s="360">
        <f t="shared" ref="G23:G28" si="2">VLOOKUP(A23,A67:F122,5,FALSE)</f>
        <v>0</v>
      </c>
      <c r="H23" s="325">
        <f>IF(E23="",0,IF(A23="",0,IF(E23="Std-ore",ROUND(C$14+C$14*G23,5),IF(E23="Tage-gg.",ROUND(D$14+D$14*G23,5),IF(E23="Monat-mese",ROUND($I$14+$I$14*G23,2))))))</f>
        <v>0</v>
      </c>
      <c r="I23" s="152">
        <f t="shared" si="1"/>
        <v>0</v>
      </c>
      <c r="J23" s="306">
        <v>5</v>
      </c>
      <c r="K23" s="412"/>
      <c r="L23" s="413"/>
      <c r="M23" s="413"/>
      <c r="N23" s="413"/>
      <c r="O23" s="414"/>
      <c r="P23" s="6"/>
      <c r="V23" s="28"/>
      <c r="W23" s="6"/>
    </row>
    <row r="24" spans="1:26" ht="12" customHeight="1" x14ac:dyDescent="0.2">
      <c r="A24" s="613"/>
      <c r="B24" s="614"/>
      <c r="C24" s="614"/>
      <c r="D24" s="425"/>
      <c r="E24" s="421"/>
      <c r="F24" s="426"/>
      <c r="G24" s="360">
        <f t="shared" si="2"/>
        <v>0</v>
      </c>
      <c r="H24" s="325">
        <f t="shared" si="0"/>
        <v>0</v>
      </c>
      <c r="I24" s="152">
        <f t="shared" si="1"/>
        <v>0</v>
      </c>
      <c r="J24" s="306">
        <v>6</v>
      </c>
      <c r="K24" s="412"/>
      <c r="L24" s="413"/>
      <c r="M24" s="413"/>
      <c r="N24" s="413"/>
      <c r="O24" s="414"/>
      <c r="P24" s="6"/>
      <c r="V24" s="28"/>
      <c r="W24" s="6"/>
    </row>
    <row r="25" spans="1:26" ht="12" customHeight="1" x14ac:dyDescent="0.2">
      <c r="A25" s="613"/>
      <c r="B25" s="614"/>
      <c r="C25" s="614"/>
      <c r="D25" s="425"/>
      <c r="E25" s="421"/>
      <c r="F25" s="426"/>
      <c r="G25" s="360">
        <f t="shared" si="2"/>
        <v>0</v>
      </c>
      <c r="H25" s="325">
        <f t="shared" si="0"/>
        <v>0</v>
      </c>
      <c r="I25" s="152">
        <f t="shared" si="1"/>
        <v>0</v>
      </c>
      <c r="J25" s="306">
        <v>7</v>
      </c>
      <c r="K25" s="412"/>
      <c r="L25" s="413"/>
      <c r="M25" s="413"/>
      <c r="N25" s="413"/>
      <c r="O25" s="414"/>
      <c r="P25" s="6"/>
      <c r="W25" s="6"/>
    </row>
    <row r="26" spans="1:26" ht="12" customHeight="1" x14ac:dyDescent="0.2">
      <c r="A26" s="613"/>
      <c r="B26" s="614"/>
      <c r="C26" s="614"/>
      <c r="D26" s="425"/>
      <c r="E26" s="421"/>
      <c r="F26" s="426"/>
      <c r="G26" s="360">
        <f t="shared" si="2"/>
        <v>0</v>
      </c>
      <c r="H26" s="325">
        <f t="shared" si="0"/>
        <v>0</v>
      </c>
      <c r="I26" s="152">
        <f t="shared" si="1"/>
        <v>0</v>
      </c>
      <c r="J26" s="306">
        <v>8</v>
      </c>
      <c r="K26" s="412"/>
      <c r="L26" s="413"/>
      <c r="M26" s="413"/>
      <c r="N26" s="413"/>
      <c r="O26" s="414"/>
      <c r="P26" s="6"/>
      <c r="W26" s="6"/>
    </row>
    <row r="27" spans="1:26" ht="12" customHeight="1" x14ac:dyDescent="0.2">
      <c r="A27" s="613"/>
      <c r="B27" s="614"/>
      <c r="C27" s="614"/>
      <c r="D27" s="425"/>
      <c r="E27" s="421"/>
      <c r="F27" s="426"/>
      <c r="G27" s="360">
        <f t="shared" si="2"/>
        <v>0</v>
      </c>
      <c r="H27" s="325">
        <f t="shared" si="0"/>
        <v>0</v>
      </c>
      <c r="I27" s="152">
        <f t="shared" si="1"/>
        <v>0</v>
      </c>
      <c r="J27" s="306">
        <v>9</v>
      </c>
      <c r="K27" s="412"/>
      <c r="L27" s="413"/>
      <c r="M27" s="413"/>
      <c r="N27" s="413"/>
      <c r="O27" s="414"/>
      <c r="P27" s="6"/>
    </row>
    <row r="28" spans="1:26" ht="12" customHeight="1" x14ac:dyDescent="0.2">
      <c r="A28" s="613"/>
      <c r="B28" s="614"/>
      <c r="C28" s="614"/>
      <c r="D28" s="425"/>
      <c r="E28" s="421"/>
      <c r="F28" s="426"/>
      <c r="G28" s="360">
        <f t="shared" si="2"/>
        <v>0</v>
      </c>
      <c r="H28" s="325">
        <f t="shared" si="0"/>
        <v>0</v>
      </c>
      <c r="I28" s="152">
        <f t="shared" si="1"/>
        <v>0</v>
      </c>
      <c r="J28" s="306">
        <v>10</v>
      </c>
      <c r="K28" s="412"/>
      <c r="L28" s="413"/>
      <c r="M28" s="413"/>
      <c r="N28" s="413"/>
      <c r="O28" s="414"/>
      <c r="P28" s="6"/>
    </row>
    <row r="29" spans="1:26" ht="12" customHeight="1" x14ac:dyDescent="0.2">
      <c r="A29" s="119" t="s">
        <v>109</v>
      </c>
      <c r="B29" s="57"/>
      <c r="C29" s="57"/>
      <c r="D29" s="57"/>
      <c r="E29" s="57"/>
      <c r="F29" s="58"/>
      <c r="G29" s="57"/>
      <c r="H29" s="57"/>
      <c r="I29" s="154">
        <f>SUM(I19:I28)</f>
        <v>0</v>
      </c>
      <c r="J29" s="306">
        <v>11</v>
      </c>
      <c r="K29" s="412"/>
      <c r="L29" s="413"/>
      <c r="M29" s="413"/>
      <c r="N29" s="415"/>
      <c r="O29" s="416"/>
      <c r="P29" s="9"/>
    </row>
    <row r="30" spans="1:26" ht="12" customHeight="1" x14ac:dyDescent="0.2">
      <c r="A30" s="211" t="s">
        <v>236</v>
      </c>
      <c r="B30" s="361"/>
      <c r="C30" s="362"/>
      <c r="D30" s="362"/>
      <c r="E30" s="362"/>
      <c r="F30" s="102" t="s">
        <v>55</v>
      </c>
      <c r="G30" s="326">
        <f>ROUND(I29,0)</f>
        <v>0</v>
      </c>
      <c r="H30" s="314">
        <f>'[1]Mit-1'!$C$21</f>
        <v>9.1899999999999996E-2</v>
      </c>
      <c r="I30" s="151">
        <f>-ROUND(G30*H30,2)</f>
        <v>0</v>
      </c>
      <c r="J30" s="306">
        <v>12</v>
      </c>
      <c r="K30" s="412"/>
      <c r="L30" s="413"/>
      <c r="M30" s="413"/>
      <c r="N30" s="413"/>
      <c r="O30" s="414"/>
      <c r="P30" s="341"/>
      <c r="Z30" s="341"/>
    </row>
    <row r="31" spans="1:26" ht="12" customHeight="1" x14ac:dyDescent="0.2">
      <c r="A31" s="104" t="s">
        <v>237</v>
      </c>
      <c r="B31" s="363"/>
      <c r="C31" s="364"/>
      <c r="D31" s="364"/>
      <c r="E31" s="364"/>
      <c r="F31" s="103" t="s">
        <v>55</v>
      </c>
      <c r="G31" s="327">
        <f>ROUND(I29,2)</f>
        <v>0</v>
      </c>
      <c r="H31" s="315">
        <f>VLOOKUP($P$3,'[1]Mit-1'!$A$5:$U$19,19,FALSE)</f>
        <v>1.23E-2</v>
      </c>
      <c r="I31" s="152">
        <f>-ROUND(G31*H31,2)</f>
        <v>0</v>
      </c>
      <c r="J31" s="306">
        <v>13</v>
      </c>
      <c r="K31" s="412"/>
      <c r="L31" s="413"/>
      <c r="M31" s="413"/>
      <c r="N31" s="413"/>
      <c r="O31" s="414"/>
      <c r="P31" s="341"/>
      <c r="Z31" s="341"/>
    </row>
    <row r="32" spans="1:26" ht="12" customHeight="1" x14ac:dyDescent="0.2">
      <c r="A32" s="104" t="s">
        <v>234</v>
      </c>
      <c r="B32" s="363"/>
      <c r="C32" s="364"/>
      <c r="D32" s="364"/>
      <c r="E32" s="364"/>
      <c r="F32" s="103" t="s">
        <v>55</v>
      </c>
      <c r="G32" s="327">
        <f>IF(I29=0,0,IF(R9&gt;0,SUM(A12:B12)/T9*R9,SUM(A12:B12)))</f>
        <v>0</v>
      </c>
      <c r="H32" s="315">
        <f>'[1]Mit-1'!$I$21</f>
        <v>1E-3</v>
      </c>
      <c r="I32" s="152">
        <f>-ROUND(G32*H32,2)</f>
        <v>0</v>
      </c>
      <c r="J32" s="306">
        <v>14</v>
      </c>
      <c r="K32" s="412"/>
      <c r="L32" s="413"/>
      <c r="M32" s="413"/>
      <c r="N32" s="413"/>
      <c r="O32" s="414"/>
      <c r="P32" s="341"/>
      <c r="Z32" s="341"/>
    </row>
    <row r="33" spans="1:26" ht="12" customHeight="1" x14ac:dyDescent="0.2">
      <c r="A33" s="104" t="s">
        <v>235</v>
      </c>
      <c r="B33" s="363"/>
      <c r="C33" s="364"/>
      <c r="D33" s="364"/>
      <c r="E33" s="364"/>
      <c r="F33" s="103" t="s">
        <v>55</v>
      </c>
      <c r="G33" s="327">
        <f>G30</f>
        <v>0</v>
      </c>
      <c r="H33" s="315">
        <f>'[1]Mit-1'!$I$23</f>
        <v>4.0000000000000001E-3</v>
      </c>
      <c r="I33" s="152">
        <f>-ROUND(G33*H33,2)</f>
        <v>0</v>
      </c>
      <c r="J33" s="306">
        <v>15</v>
      </c>
      <c r="K33" s="412"/>
      <c r="L33" s="413"/>
      <c r="M33" s="413"/>
      <c r="N33" s="413"/>
      <c r="O33" s="414"/>
      <c r="P33" s="341"/>
      <c r="Z33" s="341"/>
    </row>
    <row r="34" spans="1:26" ht="12" customHeight="1" x14ac:dyDescent="0.2">
      <c r="A34" s="104" t="s">
        <v>258</v>
      </c>
      <c r="B34" s="363"/>
      <c r="C34" s="364"/>
      <c r="D34" s="364"/>
      <c r="E34" s="364"/>
      <c r="F34" s="394"/>
      <c r="G34" s="365"/>
      <c r="H34" s="396"/>
      <c r="I34" s="152">
        <f>-IF(I29=0,0,'[1]Mit-1'!$I$25)</f>
        <v>0</v>
      </c>
      <c r="J34" s="306">
        <v>16</v>
      </c>
      <c r="K34" s="412"/>
      <c r="L34" s="413"/>
      <c r="M34" s="413"/>
      <c r="N34" s="413"/>
      <c r="O34" s="414"/>
      <c r="P34" s="341"/>
      <c r="Z34" s="341"/>
    </row>
    <row r="35" spans="1:26" ht="12" customHeight="1" x14ac:dyDescent="0.2">
      <c r="A35" s="104" t="s">
        <v>110</v>
      </c>
      <c r="B35" s="10"/>
      <c r="C35" s="10"/>
      <c r="D35" s="10"/>
      <c r="E35" s="10"/>
      <c r="F35" s="10"/>
      <c r="G35" s="11"/>
      <c r="H35" s="63"/>
      <c r="I35" s="152">
        <f ca="1">-SUMIF($A$19:$C$28,"Krankheit INPS-Anteil*",$I$19:$I$28)</f>
        <v>0</v>
      </c>
      <c r="J35" s="306">
        <v>17</v>
      </c>
      <c r="K35" s="412"/>
      <c r="L35" s="413"/>
      <c r="M35" s="413"/>
      <c r="N35" s="413"/>
      <c r="O35" s="414"/>
      <c r="P35" s="6"/>
      <c r="Y35" s="6"/>
      <c r="Z35" s="6"/>
    </row>
    <row r="36" spans="1:26" ht="12" customHeight="1" x14ac:dyDescent="0.2">
      <c r="A36" s="104" t="s">
        <v>111</v>
      </c>
      <c r="B36" s="10"/>
      <c r="C36" s="10"/>
      <c r="D36" s="10"/>
      <c r="E36" s="10"/>
      <c r="F36" s="10"/>
      <c r="G36" s="11"/>
      <c r="H36" s="63"/>
      <c r="I36" s="152">
        <f ca="1">-SUMIF($A$19:$C$28,"Mutterschaft INPS-Anteil*",$I$19:$I$28)</f>
        <v>0</v>
      </c>
      <c r="J36" s="306">
        <v>18</v>
      </c>
      <c r="K36" s="412"/>
      <c r="L36" s="413"/>
      <c r="M36" s="413"/>
      <c r="N36" s="413"/>
      <c r="O36" s="414"/>
      <c r="P36" s="6"/>
      <c r="Y36" s="6"/>
      <c r="Z36" s="6"/>
    </row>
    <row r="37" spans="1:26" ht="12" customHeight="1" x14ac:dyDescent="0.2">
      <c r="A37" s="105" t="s">
        <v>112</v>
      </c>
      <c r="B37" s="10"/>
      <c r="C37" s="10"/>
      <c r="D37" s="10"/>
      <c r="E37" s="10"/>
      <c r="F37" s="10"/>
      <c r="G37" s="11"/>
      <c r="H37" s="365">
        <f>ROUND(IF(I29=0,0,VLOOKUP($P$3,'[1]Mit-1'!$A$5:$AD$19,12,FALSE)),2)</f>
        <v>0</v>
      </c>
      <c r="I37" s="439"/>
      <c r="J37" s="306">
        <v>19</v>
      </c>
      <c r="K37" s="412"/>
      <c r="L37" s="413"/>
      <c r="M37" s="413"/>
      <c r="N37" s="413"/>
      <c r="O37" s="414"/>
      <c r="P37" s="6"/>
      <c r="Y37" s="6"/>
      <c r="Z37" s="6"/>
    </row>
    <row r="38" spans="1:26" ht="12" customHeight="1" x14ac:dyDescent="0.2">
      <c r="A38" s="107" t="s">
        <v>113</v>
      </c>
      <c r="B38" s="10"/>
      <c r="C38" s="10"/>
      <c r="D38" s="10"/>
      <c r="E38" s="10"/>
      <c r="F38" s="10"/>
      <c r="G38" s="11"/>
      <c r="H38" s="322">
        <f ca="1">IF(SUM(I29:I37)-H37&lt;0,0,SUM(I29:I36)-H37)</f>
        <v>0</v>
      </c>
      <c r="I38" s="160"/>
      <c r="J38" s="306">
        <v>20</v>
      </c>
      <c r="K38" s="412"/>
      <c r="L38" s="413"/>
      <c r="M38" s="413"/>
      <c r="N38" s="413"/>
      <c r="O38" s="414"/>
      <c r="P38" s="6"/>
      <c r="Y38" s="6"/>
      <c r="Z38" s="6"/>
    </row>
    <row r="39" spans="1:26" ht="12" customHeight="1" x14ac:dyDescent="0.2">
      <c r="A39" s="211" t="s">
        <v>143</v>
      </c>
      <c r="B39" s="14"/>
      <c r="C39" s="14"/>
      <c r="D39" s="14"/>
      <c r="E39" s="14"/>
      <c r="F39" s="14"/>
      <c r="G39" s="14"/>
      <c r="H39" s="323">
        <f ca="1">-U50</f>
        <v>0</v>
      </c>
      <c r="I39" s="159"/>
      <c r="J39" s="306">
        <v>21</v>
      </c>
      <c r="K39" s="412"/>
      <c r="L39" s="413"/>
      <c r="M39" s="413"/>
      <c r="N39" s="413"/>
      <c r="O39" s="414"/>
      <c r="P39" s="6"/>
      <c r="R39" s="216"/>
      <c r="V39" s="6"/>
      <c r="W39" s="6"/>
      <c r="X39" s="6"/>
      <c r="Y39" s="6"/>
      <c r="Z39" s="6"/>
    </row>
    <row r="40" spans="1:26" ht="12" customHeight="1" x14ac:dyDescent="0.2">
      <c r="A40" s="104" t="s">
        <v>144</v>
      </c>
      <c r="B40" s="10"/>
      <c r="C40" s="10"/>
      <c r="D40" s="10"/>
      <c r="E40" s="10"/>
      <c r="F40" s="10"/>
      <c r="G40" s="10"/>
      <c r="H40" s="324">
        <f>ROUND(IF(I29=0,0,VLOOKUP($P$3,'[1]Mit-1'!$A$5:$AB$19,13,FALSE)/[1]Firma!$B$24*IF(R9=0,T9,R9)),2)</f>
        <v>0</v>
      </c>
      <c r="I40" s="156"/>
      <c r="J40" s="306">
        <v>22</v>
      </c>
      <c r="K40" s="412"/>
      <c r="L40" s="413"/>
      <c r="M40" s="413"/>
      <c r="N40" s="413"/>
      <c r="O40" s="414"/>
      <c r="P40" s="6"/>
      <c r="Q40" s="220"/>
      <c r="R40" s="216"/>
      <c r="S40" s="217"/>
      <c r="T40" s="218"/>
      <c r="U40" s="219"/>
      <c r="V40" s="6"/>
      <c r="W40" s="6"/>
      <c r="X40" s="6"/>
      <c r="Y40" s="6"/>
      <c r="Z40" s="6"/>
    </row>
    <row r="41" spans="1:26" ht="12" customHeight="1" x14ac:dyDescent="0.2">
      <c r="A41" s="110" t="s">
        <v>145</v>
      </c>
      <c r="B41" s="221"/>
      <c r="C41" s="221"/>
      <c r="D41" s="221"/>
      <c r="E41" s="221"/>
      <c r="F41" s="221"/>
      <c r="G41" s="221"/>
      <c r="H41" s="324">
        <f>ROUND(IF(I29=0,0,VLOOKUP($P$3,'[1]Mit-2'!$A$46:$P$60,3,FALSE)/12),2)</f>
        <v>0</v>
      </c>
      <c r="I41" s="286"/>
      <c r="J41" s="306">
        <v>23</v>
      </c>
      <c r="K41" s="412"/>
      <c r="L41" s="413"/>
      <c r="M41" s="413"/>
      <c r="N41" s="413"/>
      <c r="O41" s="414"/>
      <c r="P41" s="6"/>
      <c r="Q41" s="492" t="s">
        <v>4</v>
      </c>
      <c r="R41" s="493"/>
      <c r="S41" s="494" t="s">
        <v>7</v>
      </c>
      <c r="T41" s="498" t="s">
        <v>5</v>
      </c>
      <c r="U41" s="490" t="s">
        <v>2</v>
      </c>
      <c r="V41" s="6"/>
      <c r="W41" s="6"/>
      <c r="X41" s="6"/>
      <c r="Y41" s="6"/>
      <c r="Z41" s="6"/>
    </row>
    <row r="42" spans="1:26" ht="12" customHeight="1" x14ac:dyDescent="0.2">
      <c r="A42" s="108" t="s">
        <v>146</v>
      </c>
      <c r="B42" s="64"/>
      <c r="C42" s="64"/>
      <c r="D42" s="64"/>
      <c r="E42" s="64"/>
      <c r="F42" s="64"/>
      <c r="G42" s="64"/>
      <c r="H42" s="65"/>
      <c r="I42" s="157">
        <f ca="1">IF(SUM(H39:H41)&gt;=0,0,SUM(H39:H41))</f>
        <v>0</v>
      </c>
      <c r="J42" s="306">
        <v>24</v>
      </c>
      <c r="K42" s="412"/>
      <c r="L42" s="413"/>
      <c r="M42" s="413"/>
      <c r="N42" s="413"/>
      <c r="O42" s="414"/>
      <c r="P42" s="6"/>
      <c r="Q42" s="529"/>
      <c r="R42" s="530"/>
      <c r="S42" s="532"/>
      <c r="T42" s="531"/>
      <c r="U42" s="528"/>
      <c r="V42" s="6"/>
      <c r="W42" s="6"/>
      <c r="X42" s="6"/>
      <c r="Y42" s="6"/>
      <c r="Z42" s="6"/>
    </row>
    <row r="43" spans="1:26" ht="12" customHeight="1" x14ac:dyDescent="0.2">
      <c r="A43" s="106" t="s">
        <v>141</v>
      </c>
      <c r="B43" s="366"/>
      <c r="C43" s="10"/>
      <c r="D43" s="213"/>
      <c r="E43" s="574"/>
      <c r="F43" s="575"/>
      <c r="G43" s="214"/>
      <c r="H43" s="215" t="s">
        <v>33</v>
      </c>
      <c r="I43" s="151"/>
      <c r="J43" s="306">
        <v>25</v>
      </c>
      <c r="K43" s="412"/>
      <c r="L43" s="413"/>
      <c r="M43" s="413"/>
      <c r="N43" s="413"/>
      <c r="O43" s="414"/>
      <c r="P43" s="6"/>
      <c r="Q43" s="81" t="s">
        <v>0</v>
      </c>
      <c r="R43" s="82" t="s">
        <v>1</v>
      </c>
      <c r="S43" s="495"/>
      <c r="T43" s="499"/>
      <c r="U43" s="491"/>
      <c r="V43" s="6"/>
      <c r="W43" s="6"/>
      <c r="X43" s="6"/>
      <c r="Y43" s="6"/>
      <c r="Z43" s="6"/>
    </row>
    <row r="44" spans="1:26" ht="12" customHeight="1" x14ac:dyDescent="0.2">
      <c r="A44" s="104" t="s">
        <v>114</v>
      </c>
      <c r="B44" s="15"/>
      <c r="C44" s="367"/>
      <c r="D44" s="368"/>
      <c r="E44" s="629"/>
      <c r="F44" s="630"/>
      <c r="G44" s="369"/>
      <c r="H44" s="408"/>
      <c r="I44" s="158">
        <f>-H44</f>
        <v>0</v>
      </c>
      <c r="J44" s="306">
        <v>26</v>
      </c>
      <c r="K44" s="412"/>
      <c r="L44" s="413"/>
      <c r="M44" s="413"/>
      <c r="N44" s="413"/>
      <c r="O44" s="414"/>
      <c r="P44" s="6"/>
      <c r="Q44" s="370">
        <f>[1]Tab!E8</f>
        <v>0</v>
      </c>
      <c r="R44" s="371">
        <f>[1]Tab!F8</f>
        <v>1250</v>
      </c>
      <c r="S44" s="372">
        <f>[1]Tab!G8</f>
        <v>0.23</v>
      </c>
      <c r="T44" s="373">
        <f>ROUND(R44*S44,2)</f>
        <v>287.5</v>
      </c>
      <c r="U44" s="373">
        <f ca="1">ROUND(IF(AND($H$38&lt;=R44,$H$38&gt;0),$H$38*S44,0),2)</f>
        <v>0</v>
      </c>
      <c r="V44" s="6"/>
      <c r="W44" s="6"/>
      <c r="X44" s="6"/>
      <c r="Y44" s="6"/>
      <c r="Z44" s="6"/>
    </row>
    <row r="45" spans="1:26" s="341" customFormat="1" ht="12" customHeight="1" x14ac:dyDescent="0.2">
      <c r="A45" s="110" t="s">
        <v>115</v>
      </c>
      <c r="B45" s="18"/>
      <c r="C45" s="111" t="s">
        <v>256</v>
      </c>
      <c r="D45" s="374">
        <v>11</v>
      </c>
      <c r="E45" s="600"/>
      <c r="F45" s="601"/>
      <c r="G45" s="375"/>
      <c r="H45" s="328">
        <f>IF(I29=0,0,VLOOKUP($P$3,'[1]Mit-2'!$A$65:$P$79,14,FALSE))</f>
        <v>0</v>
      </c>
      <c r="I45" s="155">
        <f>IF($I$9="",ROUND(IF($I$29=0,0,-H45/D45),2),-Steuern!J55)</f>
        <v>0</v>
      </c>
      <c r="J45" s="306">
        <v>27</v>
      </c>
      <c r="K45" s="412"/>
      <c r="L45" s="413"/>
      <c r="M45" s="413"/>
      <c r="N45" s="413"/>
      <c r="O45" s="414"/>
      <c r="P45" s="6"/>
      <c r="Q45" s="370">
        <f>[1]Tab!E9</f>
        <v>1250.01</v>
      </c>
      <c r="R45" s="371">
        <f>[1]Tab!F9</f>
        <v>2333.33</v>
      </c>
      <c r="S45" s="372">
        <f>[1]Tab!G9</f>
        <v>0.23</v>
      </c>
      <c r="T45" s="373">
        <f>ROUND((R45-Q45)*S45+T44,2)</f>
        <v>536.66</v>
      </c>
      <c r="U45" s="373">
        <f ca="1">ROUND(IF(AND($H$38&lt;=R45,$H$38&gt;=Q45),T44+($H$38-R44)*S45,0),2)</f>
        <v>0</v>
      </c>
      <c r="V45" s="6"/>
      <c r="W45" s="6"/>
      <c r="X45" s="6"/>
      <c r="Y45" s="6"/>
      <c r="Z45" s="6"/>
    </row>
    <row r="46" spans="1:26" ht="12" customHeight="1" x14ac:dyDescent="0.2">
      <c r="A46" s="101" t="s">
        <v>142</v>
      </c>
      <c r="B46" s="376"/>
      <c r="C46" s="14"/>
      <c r="D46" s="12"/>
      <c r="E46" s="580"/>
      <c r="F46" s="581"/>
      <c r="G46" s="112"/>
      <c r="H46" s="113" t="s">
        <v>33</v>
      </c>
      <c r="I46" s="151"/>
      <c r="J46" s="306">
        <v>28</v>
      </c>
      <c r="K46" s="412"/>
      <c r="L46" s="413"/>
      <c r="M46" s="413"/>
      <c r="N46" s="413"/>
      <c r="O46" s="414"/>
      <c r="P46" s="6"/>
      <c r="Q46" s="370">
        <f>[1]Tab!E10</f>
        <v>2333.34</v>
      </c>
      <c r="R46" s="371">
        <f>[1]Tab!F10</f>
        <v>4166.67</v>
      </c>
      <c r="S46" s="372">
        <f>[1]Tab!G10</f>
        <v>0.35</v>
      </c>
      <c r="T46" s="373">
        <f>ROUND((R46-Q46)*S46+T45,2)</f>
        <v>1178.33</v>
      </c>
      <c r="U46" s="373">
        <f ca="1">ROUND(IF(AND($H$38&lt;=R46,$H$38&gt;=Q46),T45+($H$38-R45)*S46,0),2)</f>
        <v>0</v>
      </c>
      <c r="V46" s="6"/>
      <c r="W46" s="6"/>
      <c r="X46" s="6"/>
      <c r="Y46" s="6"/>
      <c r="Z46" s="6"/>
    </row>
    <row r="47" spans="1:26" ht="12" customHeight="1" x14ac:dyDescent="0.2">
      <c r="A47" s="104" t="s">
        <v>114</v>
      </c>
      <c r="B47" s="15"/>
      <c r="C47" s="367"/>
      <c r="D47" s="368"/>
      <c r="E47" s="600"/>
      <c r="F47" s="601"/>
      <c r="G47" s="369"/>
      <c r="H47" s="408"/>
      <c r="I47" s="152">
        <f>-H47</f>
        <v>0</v>
      </c>
      <c r="J47" s="306">
        <v>29</v>
      </c>
      <c r="K47" s="412"/>
      <c r="L47" s="413"/>
      <c r="M47" s="413"/>
      <c r="N47" s="413"/>
      <c r="O47" s="414"/>
      <c r="P47" s="341"/>
      <c r="Q47" s="370">
        <f>[1]Tab!E11</f>
        <v>4166.68</v>
      </c>
      <c r="R47" s="371">
        <f>[1]Tab!F11</f>
        <v>0</v>
      </c>
      <c r="S47" s="372">
        <f>[1]Tab!G11</f>
        <v>0.43</v>
      </c>
      <c r="T47" s="373"/>
      <c r="U47" s="373">
        <f ca="1">ROUND(IF(AND($H$38&lt;=R47,$H$38&gt;=Q47),T46+($H$38-R46)*S47,0),2)</f>
        <v>0</v>
      </c>
      <c r="V47" s="341"/>
      <c r="W47" s="341"/>
      <c r="X47" s="341"/>
      <c r="Y47" s="341"/>
      <c r="Z47" s="341"/>
    </row>
    <row r="48" spans="1:26" ht="12" customHeight="1" x14ac:dyDescent="0.2">
      <c r="A48" s="224" t="s">
        <v>115</v>
      </c>
      <c r="B48" s="225"/>
      <c r="C48" s="226" t="s">
        <v>257</v>
      </c>
      <c r="D48" s="377">
        <v>11</v>
      </c>
      <c r="E48" s="627"/>
      <c r="F48" s="628"/>
      <c r="G48" s="378"/>
      <c r="H48" s="340">
        <f>IF(I29=0,0,VLOOKUP($P$3,'[1]Mit-2'!$A$65:$AD$79,28,FALSE))</f>
        <v>0</v>
      </c>
      <c r="I48" s="155">
        <f>IF($I$9="",ROUND(IF($I$29=0,0,-H48/D48),2),-Steuern!N55)</f>
        <v>0</v>
      </c>
      <c r="J48" s="306">
        <v>30</v>
      </c>
      <c r="K48" s="412"/>
      <c r="L48" s="413"/>
      <c r="M48" s="413"/>
      <c r="N48" s="413"/>
      <c r="O48" s="414"/>
      <c r="P48" s="341"/>
      <c r="Q48" s="370">
        <f>[1]Tab!E12</f>
        <v>0</v>
      </c>
      <c r="R48" s="371"/>
      <c r="S48" s="372">
        <f>[1]Tab!G12</f>
        <v>0</v>
      </c>
      <c r="T48" s="379"/>
      <c r="U48" s="373">
        <f ca="1">ROUND(IF($H$38&gt;R47,T47+($H$38-R47)*S48,0),2)</f>
        <v>0</v>
      </c>
      <c r="V48" s="341"/>
      <c r="W48" s="341"/>
      <c r="X48" s="341"/>
      <c r="Y48" s="341"/>
      <c r="Z48" s="341"/>
    </row>
    <row r="49" spans="1:26" ht="12" customHeight="1" x14ac:dyDescent="0.2">
      <c r="A49" s="110" t="s">
        <v>147</v>
      </c>
      <c r="B49" s="231">
        <v>0.3</v>
      </c>
      <c r="C49" s="232">
        <f>H48</f>
        <v>0</v>
      </c>
      <c r="D49" s="233">
        <f>ROUND(C49*B49,2)</f>
        <v>0</v>
      </c>
      <c r="E49" s="598"/>
      <c r="F49" s="599"/>
      <c r="G49" s="234" t="s">
        <v>250</v>
      </c>
      <c r="H49" s="235">
        <v>9</v>
      </c>
      <c r="I49" s="393">
        <f>IF($I$9="",ROUND(IF($I$29=0,0,-D49/H49),2),-Steuern!R56)</f>
        <v>0</v>
      </c>
      <c r="J49" s="310">
        <v>31</v>
      </c>
      <c r="K49" s="412"/>
      <c r="L49" s="413"/>
      <c r="M49" s="413"/>
      <c r="N49" s="413"/>
      <c r="O49" s="414"/>
      <c r="P49" s="341"/>
      <c r="Q49" s="370">
        <f>[1]Tab!E13</f>
        <v>0</v>
      </c>
      <c r="R49" s="371"/>
      <c r="S49" s="372">
        <f>[1]Tab!G13</f>
        <v>0</v>
      </c>
      <c r="T49" s="379"/>
      <c r="U49" s="373">
        <f ca="1">ROUND(IF($H$38&gt;R48,T48+($H$38-R48)*S49,0),2)</f>
        <v>0</v>
      </c>
      <c r="V49" s="341"/>
      <c r="W49" s="341"/>
      <c r="X49" s="341"/>
      <c r="Y49" s="341"/>
      <c r="Z49" s="341"/>
    </row>
    <row r="50" spans="1:26" ht="12" customHeight="1" x14ac:dyDescent="0.2">
      <c r="A50" s="109" t="s">
        <v>139</v>
      </c>
      <c r="B50" s="380"/>
      <c r="C50" s="114" t="s">
        <v>34</v>
      </c>
      <c r="D50" s="114" t="s">
        <v>160</v>
      </c>
      <c r="E50" s="509" t="s">
        <v>161</v>
      </c>
      <c r="F50" s="510"/>
      <c r="G50" s="114" t="s">
        <v>162</v>
      </c>
      <c r="H50" s="230" t="s">
        <v>36</v>
      </c>
      <c r="I50" s="156"/>
      <c r="J50" s="311"/>
      <c r="K50" s="500">
        <f>SUM(K19:K49)</f>
        <v>0</v>
      </c>
      <c r="L50" s="496">
        <f>SUM(L19:L49)</f>
        <v>0</v>
      </c>
      <c r="M50" s="496">
        <f>SUM(M19:M49)</f>
        <v>0</v>
      </c>
      <c r="N50" s="496">
        <f>SUM(N19:N49)</f>
        <v>0</v>
      </c>
      <c r="O50" s="502">
        <f>SUM(O19:O49)</f>
        <v>0</v>
      </c>
      <c r="P50" s="6"/>
      <c r="Q50" s="381" t="s">
        <v>8</v>
      </c>
      <c r="R50" s="382"/>
      <c r="S50" s="79"/>
      <c r="T50" s="64"/>
      <c r="U50" s="80">
        <f ca="1">ROUND(SUM(U44:U47),2)</f>
        <v>0</v>
      </c>
      <c r="V50" s="6"/>
      <c r="W50" s="6"/>
      <c r="X50" s="6"/>
      <c r="Y50" s="6"/>
      <c r="Z50" s="6"/>
    </row>
    <row r="51" spans="1:26" ht="12" customHeight="1" x14ac:dyDescent="0.2">
      <c r="A51" s="104" t="s">
        <v>117</v>
      </c>
      <c r="B51" s="383"/>
      <c r="C51" s="327">
        <f>IF(I29=0,0,Steuern!J87)</f>
        <v>0</v>
      </c>
      <c r="D51" s="327">
        <f>IF(I29=0,0,Steuern!L87)</f>
        <v>0</v>
      </c>
      <c r="E51" s="600">
        <f>IF(I29=0,0,Steuern!N87)</f>
        <v>0</v>
      </c>
      <c r="F51" s="601"/>
      <c r="G51" s="327">
        <f>IF(I29=0,0,Steuern!P87)</f>
        <v>0</v>
      </c>
      <c r="H51" s="384">
        <f>IF(I29=0,0,Steuern!R87)</f>
        <v>0</v>
      </c>
      <c r="I51" s="156"/>
      <c r="J51" s="309"/>
      <c r="K51" s="501"/>
      <c r="L51" s="497"/>
      <c r="M51" s="497"/>
      <c r="N51" s="497"/>
      <c r="O51" s="503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</row>
    <row r="52" spans="1:26" ht="12" customHeight="1" x14ac:dyDescent="0.2">
      <c r="A52" s="110" t="s">
        <v>138</v>
      </c>
      <c r="B52" s="385"/>
      <c r="C52" s="386">
        <f>IF($I$9="",0,Steuern!J89)</f>
        <v>0</v>
      </c>
      <c r="D52" s="386">
        <f>U60</f>
        <v>0</v>
      </c>
      <c r="E52" s="620">
        <f>IF($I$9="",0,conguaglio!F60)</f>
        <v>0</v>
      </c>
      <c r="F52" s="621"/>
      <c r="G52" s="387">
        <f>IF($I$9="",0,conguaglio!G63)</f>
        <v>0</v>
      </c>
      <c r="H52" s="312">
        <f>IF((D52-E52-G52)&lt;0,0,D52-E52-G52)</f>
        <v>0</v>
      </c>
      <c r="I52" s="153">
        <f>IF($I$9="",0,H51-H52)</f>
        <v>0</v>
      </c>
      <c r="J52" s="504" t="s">
        <v>230</v>
      </c>
      <c r="K52" s="505"/>
      <c r="L52" s="505"/>
      <c r="M52" s="505"/>
      <c r="N52" s="505"/>
      <c r="O52" s="506"/>
      <c r="P52" s="6"/>
      <c r="Q52" s="6"/>
      <c r="R52" s="6"/>
      <c r="S52" s="6"/>
      <c r="T52" s="66"/>
      <c r="U52" s="6"/>
      <c r="V52" s="6"/>
      <c r="W52" s="6"/>
      <c r="X52" s="6"/>
      <c r="Y52" s="6"/>
      <c r="Z52" s="6"/>
    </row>
    <row r="53" spans="1:26" ht="12" customHeight="1" x14ac:dyDescent="0.2">
      <c r="A53" s="119" t="s">
        <v>119</v>
      </c>
      <c r="B53" s="349"/>
      <c r="C53" s="349"/>
      <c r="D53" s="349"/>
      <c r="E53" s="349"/>
      <c r="F53" s="349"/>
      <c r="G53" s="349"/>
      <c r="H53" s="349"/>
      <c r="I53" s="154">
        <f ca="1">SUM(I29:I52)</f>
        <v>0</v>
      </c>
      <c r="J53" s="307"/>
      <c r="O53" s="344"/>
      <c r="P53" s="30"/>
      <c r="Q53" s="492" t="s">
        <v>6</v>
      </c>
      <c r="R53" s="493"/>
      <c r="S53" s="494" t="s">
        <v>7</v>
      </c>
      <c r="T53" s="498" t="s">
        <v>5</v>
      </c>
      <c r="U53" s="490" t="s">
        <v>2</v>
      </c>
      <c r="V53" s="30"/>
      <c r="W53" s="30"/>
      <c r="X53" s="30"/>
      <c r="Y53" s="30"/>
      <c r="Z53" s="30"/>
    </row>
    <row r="54" spans="1:26" ht="12" customHeight="1" x14ac:dyDescent="0.2">
      <c r="A54" s="115" t="s">
        <v>120</v>
      </c>
      <c r="B54" s="95" t="s">
        <v>124</v>
      </c>
      <c r="C54" s="388">
        <f>IF($I$9="",0,VLOOKUP($P$3,'[1]Mit-1'!$A$5:$AD$19,22,FALSE))</f>
        <v>0</v>
      </c>
      <c r="D54" s="95" t="s">
        <v>38</v>
      </c>
      <c r="E54" s="617">
        <f>ROUND(IF($I$9="",0,Steuern!$D$89/13.5),2)</f>
        <v>0</v>
      </c>
      <c r="F54" s="618"/>
      <c r="G54" s="95" t="s">
        <v>40</v>
      </c>
      <c r="H54" s="389">
        <f>IF($I$9="",0,Steuern!$F$89)</f>
        <v>0</v>
      </c>
      <c r="I54" s="398">
        <f>C54+E54-H54</f>
        <v>0</v>
      </c>
      <c r="J54" s="568"/>
      <c r="K54" s="476"/>
      <c r="L54" s="476"/>
      <c r="M54" s="476"/>
      <c r="N54" s="476"/>
      <c r="O54" s="477"/>
      <c r="Q54" s="81" t="s">
        <v>0</v>
      </c>
      <c r="R54" s="82" t="s">
        <v>1</v>
      </c>
      <c r="S54" s="495"/>
      <c r="T54" s="499"/>
      <c r="U54" s="491"/>
      <c r="V54" s="341"/>
      <c r="W54" s="341"/>
      <c r="X54" s="341"/>
    </row>
    <row r="55" spans="1:26" ht="15" customHeight="1" x14ac:dyDescent="0.2">
      <c r="A55" s="116" t="s">
        <v>121</v>
      </c>
      <c r="B55" s="117" t="s">
        <v>37</v>
      </c>
      <c r="C55" s="406"/>
      <c r="D55" s="117" t="s">
        <v>39</v>
      </c>
      <c r="E55" s="623"/>
      <c r="F55" s="624"/>
      <c r="G55" s="117" t="s">
        <v>35</v>
      </c>
      <c r="H55" s="408"/>
      <c r="I55" s="399">
        <f>-(E55-H55)</f>
        <v>0</v>
      </c>
      <c r="J55" s="402"/>
      <c r="K55" s="401"/>
      <c r="L55" s="401"/>
      <c r="M55" s="401"/>
      <c r="N55" s="572"/>
      <c r="O55" s="573"/>
      <c r="Q55" s="370">
        <f>[1]Tab!A8</f>
        <v>0</v>
      </c>
      <c r="R55" s="371">
        <f>[1]Tab!D8</f>
        <v>15000</v>
      </c>
      <c r="S55" s="372">
        <f>S44</f>
        <v>0.23</v>
      </c>
      <c r="T55" s="373">
        <f>ROUND(R55*S55,2)</f>
        <v>3450</v>
      </c>
      <c r="U55" s="373">
        <f>ROUND(IF(AND($C$52&lt;=R55,C52&gt;0),$C$52*S55,0),2)</f>
        <v>0</v>
      </c>
      <c r="V55" s="341"/>
      <c r="W55" s="341"/>
      <c r="X55" s="341"/>
    </row>
    <row r="56" spans="1:26" ht="16.899999999999999" customHeight="1" x14ac:dyDescent="0.2">
      <c r="A56" s="453" t="s">
        <v>122</v>
      </c>
      <c r="B56" s="118" t="s">
        <v>125</v>
      </c>
      <c r="C56" s="463">
        <f>ROUND(C54*'[1]Mit-2'!$N$84%,2)</f>
        <v>0</v>
      </c>
      <c r="D56" s="118" t="s">
        <v>262</v>
      </c>
      <c r="E56" s="620">
        <f>ROUND(C56*[1]Tab!$G$142,2)</f>
        <v>0</v>
      </c>
      <c r="F56" s="621"/>
      <c r="G56" s="455"/>
      <c r="H56" s="464"/>
      <c r="I56" s="153">
        <f>C56-E56</f>
        <v>0</v>
      </c>
      <c r="J56" s="402"/>
      <c r="K56" s="401"/>
      <c r="L56" s="401"/>
      <c r="M56" s="401"/>
      <c r="N56" s="572"/>
      <c r="O56" s="573"/>
      <c r="Q56" s="370">
        <f>[1]Tab!A9</f>
        <v>15000.01</v>
      </c>
      <c r="R56" s="371">
        <f>[1]Tab!D9</f>
        <v>28000</v>
      </c>
      <c r="S56" s="372">
        <f>S45</f>
        <v>0.23</v>
      </c>
      <c r="T56" s="373">
        <f>ROUND((R56-Q56)*S56+T55,2)</f>
        <v>6440</v>
      </c>
      <c r="U56" s="373">
        <f>ROUND(IF(AND($C$52&lt;=R56,$C$52&gt;=Q56),T55+($C$52-R55)*S56,0),2)</f>
        <v>0</v>
      </c>
    </row>
    <row r="57" spans="1:26" ht="12.75" customHeight="1" x14ac:dyDescent="0.2">
      <c r="A57" s="448" t="s">
        <v>242</v>
      </c>
      <c r="B57" s="459"/>
      <c r="C57" s="459"/>
      <c r="D57" s="460"/>
      <c r="E57" s="622"/>
      <c r="F57" s="622"/>
      <c r="G57" s="460"/>
      <c r="H57" s="461"/>
      <c r="I57" s="452">
        <f ca="1">ROUND(IF(SUM(H39:H40)&gt;=0,0,VLOOKUP($P$3,'[1]Mit-1'!$A$5:$AC$19,20,FALSE)/[1]Firma!$C$24*IF(R9=0,T9,R9)),2)</f>
        <v>0</v>
      </c>
      <c r="J57" s="569"/>
      <c r="K57" s="570"/>
      <c r="L57" s="570"/>
      <c r="M57" s="570"/>
      <c r="N57" s="570"/>
      <c r="O57" s="571"/>
      <c r="P57" s="30"/>
      <c r="Q57" s="370">
        <f>[1]Tab!A10</f>
        <v>28000.01</v>
      </c>
      <c r="R57" s="371">
        <f>[1]Tab!D10</f>
        <v>50000</v>
      </c>
      <c r="S57" s="372">
        <f>S46</f>
        <v>0.35</v>
      </c>
      <c r="T57" s="373">
        <f>ROUND((R57-Q57)*S57+T56,2)</f>
        <v>14140</v>
      </c>
      <c r="U57" s="373">
        <f>ROUND(IF(AND($C$52&lt;=R57,$C$52&gt;=Q57),T56+($C$52-R56)*S57,0),2)</f>
        <v>0</v>
      </c>
      <c r="V57" s="30"/>
      <c r="W57" s="30"/>
      <c r="X57" s="30"/>
      <c r="Y57" s="30"/>
      <c r="Z57" s="30"/>
    </row>
    <row r="58" spans="1:26" ht="12.75" customHeight="1" x14ac:dyDescent="0.2">
      <c r="A58" s="465"/>
      <c r="B58" s="470"/>
      <c r="C58" s="470"/>
      <c r="D58" s="471"/>
      <c r="E58" s="619"/>
      <c r="F58" s="619"/>
      <c r="G58" s="471"/>
      <c r="H58" s="472"/>
      <c r="I58" s="469"/>
      <c r="J58" s="402"/>
      <c r="K58" s="401"/>
      <c r="L58" s="401"/>
      <c r="M58" s="401"/>
      <c r="N58" s="572"/>
      <c r="O58" s="573"/>
      <c r="P58" s="30"/>
      <c r="Q58" s="370">
        <f>[1]Tab!A11</f>
        <v>50000.01</v>
      </c>
      <c r="R58" s="371">
        <f>[1]Tab!D11</f>
        <v>0</v>
      </c>
      <c r="S58" s="372">
        <f>S47</f>
        <v>0.43</v>
      </c>
      <c r="T58" s="373"/>
      <c r="U58" s="373">
        <f>ROUND(IF(AND($C$52&lt;=R58,$C$52&gt;=Q58),T57+($C$52-R57)*S58,0),2)</f>
        <v>0</v>
      </c>
      <c r="V58" s="30"/>
      <c r="W58" s="30"/>
      <c r="X58" s="30"/>
      <c r="Y58" s="30"/>
      <c r="Z58" s="30"/>
    </row>
    <row r="59" spans="1:26" ht="12" customHeight="1" x14ac:dyDescent="0.2">
      <c r="A59" s="106" t="s">
        <v>123</v>
      </c>
      <c r="B59" s="367"/>
      <c r="C59" s="390"/>
      <c r="D59" s="117" t="s">
        <v>41</v>
      </c>
      <c r="E59" s="615">
        <f>-'10'!H59</f>
        <v>0</v>
      </c>
      <c r="F59" s="616"/>
      <c r="G59" s="117" t="s">
        <v>42</v>
      </c>
      <c r="H59" s="329">
        <f>IF(I29=0,0,SUM(I60-Q61))</f>
        <v>0</v>
      </c>
      <c r="I59" s="399">
        <f>IF(I29=0,0,SUM(E59,H59))</f>
        <v>0</v>
      </c>
      <c r="J59" s="402"/>
      <c r="K59" s="401"/>
      <c r="L59" s="401"/>
      <c r="M59" s="401"/>
      <c r="N59" s="572"/>
      <c r="O59" s="573"/>
      <c r="P59" s="30"/>
      <c r="Q59" s="370">
        <f>[1]Tab!A12</f>
        <v>0</v>
      </c>
      <c r="R59" s="371"/>
      <c r="S59" s="372">
        <f>S48</f>
        <v>0</v>
      </c>
      <c r="T59" s="379"/>
      <c r="U59" s="373">
        <f>ROUND(IF($C$52&gt;R58,T58+($C$52-R58)*S59,0),2)</f>
        <v>0</v>
      </c>
      <c r="V59" s="30"/>
      <c r="W59" s="30"/>
      <c r="X59" s="30"/>
      <c r="Y59" s="30"/>
      <c r="Z59" s="30"/>
    </row>
    <row r="60" spans="1:26" ht="12" customHeight="1" x14ac:dyDescent="0.2">
      <c r="A60" s="319" t="s">
        <v>43</v>
      </c>
      <c r="B60" s="391"/>
      <c r="C60" s="391"/>
      <c r="D60" s="391"/>
      <c r="E60" s="391"/>
      <c r="F60" s="391"/>
      <c r="G60" s="391"/>
      <c r="H60" s="391"/>
      <c r="I60" s="400">
        <f>IF(I29=0,0,ROUNDUP(Q61,0))</f>
        <v>0</v>
      </c>
      <c r="J60" s="403"/>
      <c r="K60" s="404"/>
      <c r="L60" s="404"/>
      <c r="M60" s="404"/>
      <c r="N60" s="566"/>
      <c r="O60" s="567"/>
      <c r="P60" s="6"/>
      <c r="Q60" s="381" t="s">
        <v>8</v>
      </c>
      <c r="R60" s="382"/>
      <c r="S60" s="79"/>
      <c r="T60" s="64"/>
      <c r="U60" s="80">
        <f>ROUND(SUM(U55:U59),2)</f>
        <v>0</v>
      </c>
      <c r="V60" s="6"/>
      <c r="W60" s="6"/>
      <c r="X60" s="6"/>
      <c r="Y60" s="6"/>
      <c r="Z60" s="6"/>
    </row>
    <row r="61" spans="1:26" ht="15" customHeight="1" x14ac:dyDescent="0.2">
      <c r="A61" s="341"/>
      <c r="B61" s="341"/>
      <c r="C61" s="341"/>
      <c r="D61" s="341"/>
      <c r="E61" s="341"/>
      <c r="F61" s="341"/>
      <c r="G61" s="341"/>
      <c r="H61" s="341"/>
      <c r="I61" s="341"/>
      <c r="K61" s="341"/>
      <c r="L61" s="341"/>
      <c r="M61" s="341"/>
      <c r="Q61" s="392">
        <f ca="1">SUM(I53:I58,E59)</f>
        <v>0</v>
      </c>
    </row>
    <row r="62" spans="1:26" x14ac:dyDescent="0.2">
      <c r="Q62" s="392"/>
    </row>
    <row r="63" spans="1:26" ht="15.75" customHeight="1" x14ac:dyDescent="0.2">
      <c r="Q63" s="392"/>
    </row>
    <row r="64" spans="1:26" x14ac:dyDescent="0.2">
      <c r="A64" s="71" t="str">
        <f>'[1]Beschr-Descr.'!A1</f>
        <v xml:space="preserve">Beschreibung Lohnelemente  </v>
      </c>
      <c r="Q64" s="392"/>
    </row>
    <row r="65" spans="1:6" x14ac:dyDescent="0.2">
      <c r="A65" s="71" t="str">
        <f>'[1]Beschr-Descr.'!A2</f>
        <v>Descrizione elementi di retribuzione</v>
      </c>
      <c r="F65" s="71" t="s">
        <v>3</v>
      </c>
    </row>
    <row r="66" spans="1:6" x14ac:dyDescent="0.2">
      <c r="A66" s="345">
        <f>'[1]Beschr-Descr.'!A3</f>
        <v>0</v>
      </c>
      <c r="B66" s="345">
        <f>'[1]Beschr-Descr.'!B3</f>
        <v>0</v>
      </c>
      <c r="C66" s="345">
        <f>'[1]Beschr-Descr.'!C3</f>
        <v>0</v>
      </c>
      <c r="D66" s="345">
        <f>'[1]Beschr-Descr.'!D3</f>
        <v>0</v>
      </c>
      <c r="E66" s="345">
        <f>'[1]Beschr-Descr.'!E3</f>
        <v>0</v>
      </c>
    </row>
    <row r="67" spans="1:6" x14ac:dyDescent="0.2">
      <c r="A67" s="345" t="str">
        <f>'[1]Beschr-Descr.'!A4</f>
        <v>Normalentlohnung</v>
      </c>
      <c r="C67" s="345">
        <f>'[1]Beschr-Descr.'!C4</f>
        <v>0</v>
      </c>
      <c r="D67" s="345">
        <f>'[1]Beschr-Descr.'!D4</f>
        <v>0</v>
      </c>
      <c r="E67" s="207">
        <f>'[1]Beschr-Descr.'!E4</f>
        <v>0</v>
      </c>
      <c r="F67" s="345" t="s">
        <v>44</v>
      </c>
    </row>
    <row r="68" spans="1:6" x14ac:dyDescent="0.2">
      <c r="A68" s="345" t="str">
        <f>'[1]Beschr-Descr.'!A5</f>
        <v>Genossener Urlaub</v>
      </c>
      <c r="C68" s="345">
        <f>'[1]Beschr-Descr.'!C5</f>
        <v>0</v>
      </c>
      <c r="D68" s="345">
        <f>'[1]Beschr-Descr.'!D5</f>
        <v>0</v>
      </c>
      <c r="E68" s="207">
        <f>'[1]Beschr-Descr.'!E5</f>
        <v>0</v>
      </c>
      <c r="F68" s="345" t="s">
        <v>45</v>
      </c>
    </row>
    <row r="69" spans="1:6" x14ac:dyDescent="0.2">
      <c r="A69" s="345" t="str">
        <f>'[1]Beschr-Descr.'!A6</f>
        <v>Genossene Freistellungen</v>
      </c>
      <c r="C69" s="345">
        <f>'[1]Beschr-Descr.'!C6</f>
        <v>0</v>
      </c>
      <c r="D69" s="345">
        <f>'[1]Beschr-Descr.'!D6</f>
        <v>0</v>
      </c>
      <c r="E69" s="207">
        <f>'[1]Beschr-Descr.'!E6</f>
        <v>0</v>
      </c>
      <c r="F69" s="345" t="s">
        <v>46</v>
      </c>
    </row>
    <row r="70" spans="1:6" x14ac:dyDescent="0.2">
      <c r="A70" s="345" t="str">
        <f>'[1]Beschr-Descr.'!A7</f>
        <v>Nicht genossener Urlaub</v>
      </c>
      <c r="C70" s="345">
        <f>'[1]Beschr-Descr.'!C7</f>
        <v>0</v>
      </c>
      <c r="D70" s="345">
        <f>'[1]Beschr-Descr.'!D7</f>
        <v>0</v>
      </c>
      <c r="E70" s="207">
        <f>'[1]Beschr-Descr.'!E7</f>
        <v>0</v>
      </c>
    </row>
    <row r="71" spans="1:6" x14ac:dyDescent="0.2">
      <c r="A71" s="345" t="str">
        <f>'[1]Beschr-Descr.'!A8</f>
        <v>Nicht genossene Freistellungen</v>
      </c>
      <c r="C71" s="345">
        <f>'[1]Beschr-Descr.'!C8</f>
        <v>0</v>
      </c>
      <c r="D71" s="345">
        <f>'[1]Beschr-Descr.'!D8</f>
        <v>0</v>
      </c>
      <c r="E71" s="207">
        <f>'[1]Beschr-Descr.'!E8</f>
        <v>0</v>
      </c>
    </row>
    <row r="72" spans="1:6" x14ac:dyDescent="0.2">
      <c r="A72" s="345" t="str">
        <f>'[1]Beschr-Descr.'!A9</f>
        <v>Nicht genossene Feiertage</v>
      </c>
      <c r="C72" s="345">
        <f>'[1]Beschr-Descr.'!C9</f>
        <v>0</v>
      </c>
      <c r="D72" s="345">
        <f>'[1]Beschr-Descr.'!D9</f>
        <v>0</v>
      </c>
      <c r="E72" s="207">
        <f>'[1]Beschr-Descr.'!E9</f>
        <v>0</v>
      </c>
    </row>
    <row r="73" spans="1:6" x14ac:dyDescent="0.2">
      <c r="A73" s="345" t="str">
        <f>'[1]Beschr-Descr.'!A10</f>
        <v>Zulage für Kassarisiko</v>
      </c>
      <c r="C73" s="345">
        <f>'[1]Beschr-Descr.'!C10</f>
        <v>0</v>
      </c>
      <c r="D73" s="345">
        <f>'[1]Beschr-Descr.'!D10</f>
        <v>0</v>
      </c>
      <c r="E73" s="207">
        <f>'[1]Beschr-Descr.'!E10</f>
        <v>0</v>
      </c>
    </row>
    <row r="74" spans="1:6" x14ac:dyDescent="0.2">
      <c r="A74" s="345">
        <f>'[1]Beschr-Descr.'!A11</f>
        <v>0</v>
      </c>
      <c r="C74" s="345">
        <f>'[1]Beschr-Descr.'!C11</f>
        <v>0</v>
      </c>
      <c r="D74" s="345">
        <f>'[1]Beschr-Descr.'!D11</f>
        <v>0</v>
      </c>
      <c r="E74" s="207">
        <f>'[1]Beschr-Descr.'!E11</f>
        <v>0</v>
      </c>
    </row>
    <row r="75" spans="1:6" x14ac:dyDescent="0.2">
      <c r="A75" s="345" t="str">
        <f>'[1]Beschr-Descr.'!A12</f>
        <v xml:space="preserve">Überstunden 15%  </v>
      </c>
      <c r="C75" s="345">
        <f>'[1]Beschr-Descr.'!C12</f>
        <v>0</v>
      </c>
      <c r="D75" s="345">
        <f>'[1]Beschr-Descr.'!D12</f>
        <v>0</v>
      </c>
      <c r="E75" s="207">
        <f>'[1]Beschr-Descr.'!E12</f>
        <v>0.15</v>
      </c>
    </row>
    <row r="76" spans="1:6" x14ac:dyDescent="0.2">
      <c r="A76" s="345" t="str">
        <f>'[1]Beschr-Descr.'!A13</f>
        <v xml:space="preserve">Überstunden 20%  </v>
      </c>
      <c r="C76" s="345">
        <f>'[1]Beschr-Descr.'!C13</f>
        <v>0</v>
      </c>
      <c r="D76" s="345">
        <f>'[1]Beschr-Descr.'!D13</f>
        <v>0</v>
      </c>
      <c r="E76" s="207">
        <f>'[1]Beschr-Descr.'!E13</f>
        <v>0.2</v>
      </c>
    </row>
    <row r="77" spans="1:6" x14ac:dyDescent="0.2">
      <c r="A77" s="345" t="str">
        <f>'[1]Beschr-Descr.'!A14</f>
        <v xml:space="preserve">Überstunden 30%  </v>
      </c>
      <c r="C77" s="345">
        <f>'[1]Beschr-Descr.'!C14</f>
        <v>0</v>
      </c>
      <c r="D77" s="345">
        <f>'[1]Beschr-Descr.'!D14</f>
        <v>0</v>
      </c>
      <c r="E77" s="207">
        <f>'[1]Beschr-Descr.'!E14</f>
        <v>0.3</v>
      </c>
    </row>
    <row r="78" spans="1:6" x14ac:dyDescent="0.2">
      <c r="A78" s="345" t="str">
        <f>'[1]Beschr-Descr.'!A15</f>
        <v xml:space="preserve">Überstunden 50%  </v>
      </c>
      <c r="C78" s="345">
        <f>'[1]Beschr-Descr.'!C15</f>
        <v>0</v>
      </c>
      <c r="D78" s="345">
        <f>'[1]Beschr-Descr.'!D15</f>
        <v>0</v>
      </c>
      <c r="E78" s="207">
        <f>'[1]Beschr-Descr.'!E15</f>
        <v>0.5</v>
      </c>
    </row>
    <row r="79" spans="1:6" x14ac:dyDescent="0.2">
      <c r="A79" s="345" t="str">
        <f>'[1]Beschr-Descr.'!A16</f>
        <v>Nachtstunden 50%</v>
      </c>
      <c r="C79" s="345">
        <f>'[1]Beschr-Descr.'!C16</f>
        <v>0</v>
      </c>
      <c r="D79" s="345">
        <f>'[1]Beschr-Descr.'!D16</f>
        <v>0</v>
      </c>
      <c r="E79" s="207">
        <f>'[1]Beschr-Descr.'!E16</f>
        <v>0.5</v>
      </c>
    </row>
    <row r="80" spans="1:6" x14ac:dyDescent="0.2">
      <c r="A80" s="345">
        <f>'[1]Beschr-Descr.'!A17</f>
        <v>0</v>
      </c>
      <c r="C80" s="345">
        <f>'[1]Beschr-Descr.'!C17</f>
        <v>0</v>
      </c>
      <c r="D80" s="345">
        <f>'[1]Beschr-Descr.'!D17</f>
        <v>0</v>
      </c>
      <c r="E80" s="207">
        <f>'[1]Beschr-Descr.'!E17</f>
        <v>0</v>
      </c>
    </row>
    <row r="81" spans="1:5" x14ac:dyDescent="0.2">
      <c r="A81" s="345" t="str">
        <f>'[1]Beschr-Descr.'!A18</f>
        <v>Krankheit gesamt</v>
      </c>
      <c r="C81" s="345">
        <f>'[1]Beschr-Descr.'!C18</f>
        <v>0</v>
      </c>
      <c r="D81" s="345">
        <f>'[1]Beschr-Descr.'!D18</f>
        <v>0</v>
      </c>
      <c r="E81" s="207">
        <f>'[1]Beschr-Descr.'!E18</f>
        <v>0</v>
      </c>
    </row>
    <row r="82" spans="1:5" x14ac:dyDescent="0.2">
      <c r="A82" s="345" t="str">
        <f>'[1]Beschr-Descr.'!A19</f>
        <v xml:space="preserve">Krankheit INPS-Anteil 50,00% </v>
      </c>
      <c r="C82" s="345">
        <f>'[1]Beschr-Descr.'!C19</f>
        <v>0</v>
      </c>
      <c r="D82" s="345">
        <f>'[1]Beschr-Descr.'!D19</f>
        <v>0</v>
      </c>
      <c r="E82" s="207">
        <f>'[1]Beschr-Descr.'!E19</f>
        <v>-0.5</v>
      </c>
    </row>
    <row r="83" spans="1:5" x14ac:dyDescent="0.2">
      <c r="A83" s="345" t="str">
        <f>'[1]Beschr-Descr.'!A20</f>
        <v xml:space="preserve">Krankheit INPS-Anteil 66,67% </v>
      </c>
      <c r="C83" s="345">
        <f>'[1]Beschr-Descr.'!C20</f>
        <v>0</v>
      </c>
      <c r="D83" s="345">
        <f>'[1]Beschr-Descr.'!D20</f>
        <v>0</v>
      </c>
      <c r="E83" s="207">
        <f>'[1]Beschr-Descr.'!E20</f>
        <v>-0.66669999999999996</v>
      </c>
    </row>
    <row r="84" spans="1:5" x14ac:dyDescent="0.2">
      <c r="A84" s="345" t="str">
        <f>'[1]Beschr-Descr.'!A21</f>
        <v>Mutterschaft Gesamtbetrag</v>
      </c>
      <c r="C84" s="345">
        <f>'[1]Beschr-Descr.'!C21</f>
        <v>0</v>
      </c>
      <c r="D84" s="345">
        <f>'[1]Beschr-Descr.'!D21</f>
        <v>0</v>
      </c>
      <c r="E84" s="207">
        <f>'[1]Beschr-Descr.'!E21</f>
        <v>0</v>
      </c>
    </row>
    <row r="85" spans="1:5" x14ac:dyDescent="0.2">
      <c r="A85" s="345" t="str">
        <f>'[1]Beschr-Descr.'!A22</f>
        <v>Mutterschaft INPS-Anteil 80,00%</v>
      </c>
      <c r="C85" s="345">
        <f>'[1]Beschr-Descr.'!C22</f>
        <v>0</v>
      </c>
      <c r="D85" s="345">
        <f>'[1]Beschr-Descr.'!D22</f>
        <v>0</v>
      </c>
      <c r="E85" s="207">
        <f>'[1]Beschr-Descr.'!E22</f>
        <v>-0.8</v>
      </c>
    </row>
    <row r="86" spans="1:5" x14ac:dyDescent="0.2">
      <c r="A86" s="345" t="str">
        <f>'[1]Beschr-Descr.'!A23</f>
        <v>Abzug Bruttoberechnung Krankengeld INPS</v>
      </c>
      <c r="C86" s="345">
        <f>'[1]Beschr-Descr.'!C23</f>
        <v>0</v>
      </c>
      <c r="D86" s="345">
        <f>'[1]Beschr-Descr.'!D23</f>
        <v>0</v>
      </c>
      <c r="E86" s="207">
        <f>'[1]Beschr-Descr.'!E23</f>
        <v>0.10120030833608633</v>
      </c>
    </row>
    <row r="87" spans="1:5" x14ac:dyDescent="0.2">
      <c r="A87" s="345">
        <f>'[1]Beschr-Descr.'!A24</f>
        <v>0</v>
      </c>
      <c r="C87" s="345">
        <f>'[1]Beschr-Descr.'!C24</f>
        <v>0</v>
      </c>
      <c r="D87" s="345">
        <f>'[1]Beschr-Descr.'!D24</f>
        <v>0</v>
      </c>
      <c r="E87" s="207">
        <f>'[1]Beschr-Descr.'!E24</f>
        <v>0</v>
      </c>
    </row>
    <row r="88" spans="1:5" x14ac:dyDescent="0.2">
      <c r="A88" s="345" t="str">
        <f>'[1]Beschr-Descr.'!A25</f>
        <v xml:space="preserve">13. Monatsgehalt  </v>
      </c>
      <c r="C88" s="345">
        <f>'[1]Beschr-Descr.'!C25</f>
        <v>0</v>
      </c>
      <c r="D88" s="345">
        <f>'[1]Beschr-Descr.'!D25</f>
        <v>0</v>
      </c>
      <c r="E88" s="207">
        <f>'[1]Beschr-Descr.'!E25</f>
        <v>0</v>
      </c>
    </row>
    <row r="89" spans="1:5" x14ac:dyDescent="0.2">
      <c r="A89" s="345" t="str">
        <f>'[1]Beschr-Descr.'!A26</f>
        <v xml:space="preserve">14. Monatsgehalt  </v>
      </c>
      <c r="C89" s="345">
        <f>'[1]Beschr-Descr.'!C26</f>
        <v>0</v>
      </c>
      <c r="D89" s="345">
        <f>'[1]Beschr-Descr.'!D26</f>
        <v>0</v>
      </c>
      <c r="E89" s="207">
        <f>'[1]Beschr-Descr.'!E26</f>
        <v>0</v>
      </c>
    </row>
    <row r="90" spans="1:5" x14ac:dyDescent="0.2">
      <c r="A90" s="345" t="str">
        <f>'[1]Beschr-Descr.'!A27</f>
        <v xml:space="preserve">Nichteinhaltung Kündigungsfrist  </v>
      </c>
      <c r="C90" s="345">
        <f>'[1]Beschr-Descr.'!C27</f>
        <v>0</v>
      </c>
      <c r="D90" s="345">
        <f>'[1]Beschr-Descr.'!D27</f>
        <v>0</v>
      </c>
      <c r="E90" s="207">
        <f>'[1]Beschr-Descr.'!E27</f>
        <v>0</v>
      </c>
    </row>
    <row r="91" spans="1:5" x14ac:dyDescent="0.2">
      <c r="A91" s="345" t="str">
        <f>'[1]Beschr-Descr.'!A28</f>
        <v>Una Tantum</v>
      </c>
      <c r="C91" s="345">
        <f>'[1]Beschr-Descr.'!C28</f>
        <v>0</v>
      </c>
      <c r="D91" s="345">
        <f>'[1]Beschr-Descr.'!D28</f>
        <v>0</v>
      </c>
      <c r="E91" s="207">
        <f>'[1]Beschr-Descr.'!E28</f>
        <v>0</v>
      </c>
    </row>
    <row r="92" spans="1:5" x14ac:dyDescent="0.2">
      <c r="A92" s="345" t="str">
        <f>'[1]Beschr-Descr.'!A29</f>
        <v>Prämie</v>
      </c>
      <c r="C92" s="345">
        <f>'[1]Beschr-Descr.'!C29</f>
        <v>0</v>
      </c>
      <c r="D92" s="345">
        <f>'[1]Beschr-Descr.'!D29</f>
        <v>0</v>
      </c>
      <c r="E92" s="207">
        <f>'[1]Beschr-Descr.'!E29</f>
        <v>0</v>
      </c>
    </row>
    <row r="93" spans="1:5" x14ac:dyDescent="0.2">
      <c r="A93" s="345">
        <f>'[1]Beschr-Descr.'!A30</f>
        <v>0</v>
      </c>
      <c r="C93" s="345">
        <f>'[1]Beschr-Descr.'!C30</f>
        <v>0</v>
      </c>
      <c r="D93" s="345">
        <f>'[1]Beschr-Descr.'!D30</f>
        <v>0</v>
      </c>
      <c r="E93" s="207">
        <f>'[1]Beschr-Descr.'!E30</f>
        <v>0</v>
      </c>
    </row>
    <row r="94" spans="1:5" x14ac:dyDescent="0.2">
      <c r="A94" s="345">
        <f>'[1]Beschr-Descr.'!A31</f>
        <v>0</v>
      </c>
      <c r="C94" s="345">
        <f>'[1]Beschr-Descr.'!C31</f>
        <v>0</v>
      </c>
      <c r="D94" s="345">
        <f>'[1]Beschr-Descr.'!D31</f>
        <v>0</v>
      </c>
      <c r="E94" s="207">
        <f>'[1]Beschr-Descr.'!E31</f>
        <v>0</v>
      </c>
    </row>
    <row r="95" spans="1:5" x14ac:dyDescent="0.2">
      <c r="A95" s="345" t="str">
        <f>'[1]Beschr-Descr.'!A32</f>
        <v xml:space="preserve">Retribuzione ordinaria </v>
      </c>
      <c r="C95" s="345">
        <f>'[1]Beschr-Descr.'!C32</f>
        <v>0</v>
      </c>
      <c r="D95" s="345">
        <f>'[1]Beschr-Descr.'!D32</f>
        <v>0</v>
      </c>
      <c r="E95" s="207">
        <f>'[1]Beschr-Descr.'!E32</f>
        <v>0</v>
      </c>
    </row>
    <row r="96" spans="1:5" x14ac:dyDescent="0.2">
      <c r="A96" s="345" t="str">
        <f>'[1]Beschr-Descr.'!A33</f>
        <v>Ferie godute</v>
      </c>
      <c r="C96" s="345">
        <f>'[1]Beschr-Descr.'!C33</f>
        <v>0</v>
      </c>
      <c r="D96" s="345">
        <f>'[1]Beschr-Descr.'!D33</f>
        <v>0</v>
      </c>
      <c r="E96" s="207">
        <f>'[1]Beschr-Descr.'!E33</f>
        <v>0</v>
      </c>
    </row>
    <row r="97" spans="1:5" x14ac:dyDescent="0.2">
      <c r="A97" s="345" t="str">
        <f>'[1]Beschr-Descr.'!A34</f>
        <v>Permessi goduti</v>
      </c>
      <c r="C97" s="345">
        <f>'[1]Beschr-Descr.'!C34</f>
        <v>0</v>
      </c>
      <c r="D97" s="345">
        <f>'[1]Beschr-Descr.'!D34</f>
        <v>0</v>
      </c>
      <c r="E97" s="207">
        <f>'[1]Beschr-Descr.'!E34</f>
        <v>0</v>
      </c>
    </row>
    <row r="98" spans="1:5" x14ac:dyDescent="0.2">
      <c r="A98" s="345" t="str">
        <f>'[1]Beschr-Descr.'!A35</f>
        <v>Ferie non godute</v>
      </c>
      <c r="C98" s="345">
        <f>'[1]Beschr-Descr.'!C35</f>
        <v>0</v>
      </c>
      <c r="D98" s="345">
        <f>'[1]Beschr-Descr.'!D35</f>
        <v>0</v>
      </c>
      <c r="E98" s="207">
        <f>'[1]Beschr-Descr.'!E35</f>
        <v>0</v>
      </c>
    </row>
    <row r="99" spans="1:5" x14ac:dyDescent="0.2">
      <c r="A99" s="345" t="str">
        <f>'[1]Beschr-Descr.'!A36</f>
        <v>Ferie non godute</v>
      </c>
      <c r="C99" s="345">
        <f>'[1]Beschr-Descr.'!C36</f>
        <v>0</v>
      </c>
      <c r="D99" s="345">
        <f>'[1]Beschr-Descr.'!D36</f>
        <v>0</v>
      </c>
      <c r="E99" s="207">
        <f>'[1]Beschr-Descr.'!E36</f>
        <v>0</v>
      </c>
    </row>
    <row r="100" spans="1:5" x14ac:dyDescent="0.2">
      <c r="A100" s="345" t="str">
        <f>'[1]Beschr-Descr.'!A37</f>
        <v>Festività non godute</v>
      </c>
      <c r="C100" s="345">
        <f>'[1]Beschr-Descr.'!C37</f>
        <v>0</v>
      </c>
      <c r="D100" s="345">
        <f>'[1]Beschr-Descr.'!D37</f>
        <v>0</v>
      </c>
      <c r="E100" s="207">
        <f>'[1]Beschr-Descr.'!E37</f>
        <v>0</v>
      </c>
    </row>
    <row r="101" spans="1:5" x14ac:dyDescent="0.2">
      <c r="A101" s="345" t="str">
        <f>'[1]Beschr-Descr.'!A38</f>
        <v>Indennità rischio cassa</v>
      </c>
      <c r="C101" s="345">
        <f>'[1]Beschr-Descr.'!C38</f>
        <v>0</v>
      </c>
      <c r="D101" s="345">
        <f>'[1]Beschr-Descr.'!D38</f>
        <v>0</v>
      </c>
      <c r="E101" s="207">
        <f>'[1]Beschr-Descr.'!E38</f>
        <v>0</v>
      </c>
    </row>
    <row r="102" spans="1:5" x14ac:dyDescent="0.2">
      <c r="A102" s="345">
        <f>'[1]Beschr-Descr.'!A39</f>
        <v>0</v>
      </c>
      <c r="C102" s="345">
        <f>'[1]Beschr-Descr.'!C39</f>
        <v>0</v>
      </c>
      <c r="D102" s="345">
        <f>'[1]Beschr-Descr.'!D39</f>
        <v>0</v>
      </c>
      <c r="E102" s="207">
        <f>'[1]Beschr-Descr.'!E39</f>
        <v>0</v>
      </c>
    </row>
    <row r="103" spans="1:5" x14ac:dyDescent="0.2">
      <c r="A103" s="345" t="str">
        <f>'[1]Beschr-Descr.'!A40</f>
        <v>Ore straordinarie 15%</v>
      </c>
      <c r="C103" s="345">
        <f>'[1]Beschr-Descr.'!C40</f>
        <v>0</v>
      </c>
      <c r="D103" s="345">
        <f>'[1]Beschr-Descr.'!D40</f>
        <v>0</v>
      </c>
      <c r="E103" s="207">
        <f>'[1]Beschr-Descr.'!E40</f>
        <v>0.15</v>
      </c>
    </row>
    <row r="104" spans="1:5" x14ac:dyDescent="0.2">
      <c r="A104" s="345" t="str">
        <f>'[1]Beschr-Descr.'!A41</f>
        <v>Ore straordinarie 20%</v>
      </c>
      <c r="C104" s="345">
        <f>'[1]Beschr-Descr.'!C41</f>
        <v>0</v>
      </c>
      <c r="D104" s="345">
        <f>'[1]Beschr-Descr.'!D41</f>
        <v>0</v>
      </c>
      <c r="E104" s="207">
        <f>'[1]Beschr-Descr.'!E41</f>
        <v>0.2</v>
      </c>
    </row>
    <row r="105" spans="1:5" x14ac:dyDescent="0.2">
      <c r="A105" s="345" t="str">
        <f>'[1]Beschr-Descr.'!A42</f>
        <v>Ore straordinarie 30%</v>
      </c>
      <c r="C105" s="345">
        <f>'[1]Beschr-Descr.'!C42</f>
        <v>0</v>
      </c>
      <c r="D105" s="345">
        <f>'[1]Beschr-Descr.'!D42</f>
        <v>0</v>
      </c>
      <c r="E105" s="207">
        <f>'[1]Beschr-Descr.'!E42</f>
        <v>0.3</v>
      </c>
    </row>
    <row r="106" spans="1:5" x14ac:dyDescent="0.2">
      <c r="A106" s="345" t="str">
        <f>'[1]Beschr-Descr.'!A43</f>
        <v>Ore straordinarie 50%</v>
      </c>
      <c r="C106" s="345">
        <f>'[1]Beschr-Descr.'!C43</f>
        <v>0</v>
      </c>
      <c r="D106" s="345">
        <f>'[1]Beschr-Descr.'!D43</f>
        <v>0</v>
      </c>
      <c r="E106" s="207">
        <f>'[1]Beschr-Descr.'!E43</f>
        <v>0.5</v>
      </c>
    </row>
    <row r="107" spans="1:5" x14ac:dyDescent="0.2">
      <c r="A107" s="345" t="str">
        <f>'[1]Beschr-Descr.'!A44</f>
        <v>Ore notturne 50%</v>
      </c>
      <c r="C107" s="345">
        <f>'[1]Beschr-Descr.'!C44</f>
        <v>0</v>
      </c>
      <c r="D107" s="345">
        <f>'[1]Beschr-Descr.'!D44</f>
        <v>0</v>
      </c>
      <c r="E107" s="207">
        <f>'[1]Beschr-Descr.'!E44</f>
        <v>0.5</v>
      </c>
    </row>
    <row r="108" spans="1:5" x14ac:dyDescent="0.2">
      <c r="A108" s="345">
        <f>'[1]Beschr-Descr.'!A45</f>
        <v>0</v>
      </c>
      <c r="C108" s="345">
        <f>'[1]Beschr-Descr.'!C45</f>
        <v>0</v>
      </c>
      <c r="D108" s="345">
        <f>'[1]Beschr-Descr.'!D45</f>
        <v>0</v>
      </c>
      <c r="E108" s="207">
        <f>'[1]Beschr-Descr.'!E45</f>
        <v>0</v>
      </c>
    </row>
    <row r="109" spans="1:5" x14ac:dyDescent="0.2">
      <c r="A109" s="345" t="str">
        <f>'[1]Beschr-Descr.'!A46</f>
        <v>Indennità di malattia totale</v>
      </c>
      <c r="C109" s="345">
        <f>'[1]Beschr-Descr.'!C46</f>
        <v>0</v>
      </c>
      <c r="D109" s="345">
        <f>'[1]Beschr-Descr.'!D46</f>
        <v>0</v>
      </c>
      <c r="E109" s="207">
        <f>'[1]Beschr-Descr.'!E46</f>
        <v>0</v>
      </c>
    </row>
    <row r="110" spans="1:5" x14ac:dyDescent="0.2">
      <c r="A110" s="345" t="str">
        <f>'[1]Beschr-Descr.'!A47</f>
        <v>Indennità di malattia quota INPS 50%</v>
      </c>
      <c r="C110" s="345">
        <f>'[1]Beschr-Descr.'!C47</f>
        <v>0</v>
      </c>
      <c r="D110" s="345">
        <f>'[1]Beschr-Descr.'!D47</f>
        <v>0</v>
      </c>
      <c r="E110" s="207">
        <f>'[1]Beschr-Descr.'!E47</f>
        <v>-0.5</v>
      </c>
    </row>
    <row r="111" spans="1:5" x14ac:dyDescent="0.2">
      <c r="A111" s="345" t="str">
        <f>'[1]Beschr-Descr.'!A48</f>
        <v>Indennità di malattia quota INPS 66,67%</v>
      </c>
      <c r="C111" s="345">
        <f>'[1]Beschr-Descr.'!C48</f>
        <v>0</v>
      </c>
      <c r="D111" s="345">
        <f>'[1]Beschr-Descr.'!D48</f>
        <v>0</v>
      </c>
      <c r="E111" s="207">
        <f>'[1]Beschr-Descr.'!E48</f>
        <v>-0.66669999999999996</v>
      </c>
    </row>
    <row r="112" spans="1:5" x14ac:dyDescent="0.2">
      <c r="A112" s="345" t="str">
        <f>'[1]Beschr-Descr.'!A49</f>
        <v>Indennità di maternità importo totale</v>
      </c>
      <c r="C112" s="345">
        <f>'[1]Beschr-Descr.'!C49</f>
        <v>0</v>
      </c>
      <c r="D112" s="345">
        <f>'[1]Beschr-Descr.'!D49</f>
        <v>0</v>
      </c>
      <c r="E112" s="207">
        <f>'[1]Beschr-Descr.'!E49</f>
        <v>0</v>
      </c>
    </row>
    <row r="113" spans="1:5" x14ac:dyDescent="0.2">
      <c r="A113" s="345" t="str">
        <f>'[1]Beschr-Descr.'!A50</f>
        <v>Indennità di maternità quota INPS 80,00%</v>
      </c>
      <c r="C113" s="345">
        <f>'[1]Beschr-Descr.'!C50</f>
        <v>0</v>
      </c>
      <c r="D113" s="345">
        <f>'[1]Beschr-Descr.'!D50</f>
        <v>0</v>
      </c>
      <c r="E113" s="207">
        <f>'[1]Beschr-Descr.'!E50</f>
        <v>-0.8</v>
      </c>
    </row>
    <row r="114" spans="1:5" x14ac:dyDescent="0.2">
      <c r="A114" s="345" t="str">
        <f>'[1]Beschr-Descr.'!A51</f>
        <v>Lordizzazione indennità malattia quota INPS</v>
      </c>
      <c r="C114" s="345">
        <f>'[1]Beschr-Descr.'!C51</f>
        <v>0</v>
      </c>
      <c r="D114" s="345">
        <f>'[1]Beschr-Descr.'!D51</f>
        <v>0</v>
      </c>
      <c r="E114" s="207">
        <f>'[1]Beschr-Descr.'!E51</f>
        <v>0.1012</v>
      </c>
    </row>
    <row r="115" spans="1:5" x14ac:dyDescent="0.2">
      <c r="A115" s="345">
        <f>'[1]Beschr-Descr.'!A52</f>
        <v>0</v>
      </c>
      <c r="C115" s="345">
        <f>'[1]Beschr-Descr.'!C52</f>
        <v>0</v>
      </c>
      <c r="D115" s="345">
        <f>'[1]Beschr-Descr.'!D52</f>
        <v>0</v>
      </c>
      <c r="E115" s="207">
        <f>'[1]Beschr-Descr.'!E52</f>
        <v>0</v>
      </c>
    </row>
    <row r="116" spans="1:5" x14ac:dyDescent="0.2">
      <c r="A116" s="345" t="str">
        <f>'[1]Beschr-Descr.'!A53</f>
        <v>13a mensilità</v>
      </c>
      <c r="C116" s="345">
        <f>'[1]Beschr-Descr.'!C53</f>
        <v>0</v>
      </c>
      <c r="D116" s="345">
        <f>'[1]Beschr-Descr.'!D53</f>
        <v>0</v>
      </c>
      <c r="E116" s="207">
        <f>'[1]Beschr-Descr.'!E53</f>
        <v>0</v>
      </c>
    </row>
    <row r="117" spans="1:5" x14ac:dyDescent="0.2">
      <c r="A117" s="345" t="str">
        <f>'[1]Beschr-Descr.'!A54</f>
        <v>14a mensilità</v>
      </c>
      <c r="C117" s="345">
        <f>'[1]Beschr-Descr.'!C54</f>
        <v>0</v>
      </c>
      <c r="D117" s="345">
        <f>'[1]Beschr-Descr.'!D54</f>
        <v>0</v>
      </c>
      <c r="E117" s="207">
        <f>'[1]Beschr-Descr.'!E54</f>
        <v>0</v>
      </c>
    </row>
    <row r="118" spans="1:5" x14ac:dyDescent="0.2">
      <c r="A118" s="345" t="str">
        <f>'[1]Beschr-Descr.'!A55</f>
        <v>Mancato rispetto periodo preavviso licenziamento</v>
      </c>
      <c r="C118" s="345">
        <f>'[1]Beschr-Descr.'!C55</f>
        <v>0</v>
      </c>
      <c r="D118" s="345">
        <f>'[1]Beschr-Descr.'!D55</f>
        <v>0</v>
      </c>
      <c r="E118" s="207">
        <f>'[1]Beschr-Descr.'!E55</f>
        <v>0</v>
      </c>
    </row>
    <row r="119" spans="1:5" x14ac:dyDescent="0.2">
      <c r="A119" s="345" t="str">
        <f>'[1]Beschr-Descr.'!A56</f>
        <v>Una Tantum</v>
      </c>
      <c r="C119" s="345">
        <f>'[1]Beschr-Descr.'!C56</f>
        <v>0</v>
      </c>
      <c r="D119" s="345">
        <f>'[1]Beschr-Descr.'!D56</f>
        <v>0</v>
      </c>
      <c r="E119" s="207">
        <f>'[1]Beschr-Descr.'!E56</f>
        <v>0</v>
      </c>
    </row>
    <row r="120" spans="1:5" x14ac:dyDescent="0.2">
      <c r="A120" s="345" t="str">
        <f>'[1]Beschr-Descr.'!A57</f>
        <v>Premio</v>
      </c>
      <c r="C120" s="345">
        <f>'[1]Beschr-Descr.'!C57</f>
        <v>0</v>
      </c>
      <c r="D120" s="345">
        <f>'[1]Beschr-Descr.'!D57</f>
        <v>0</v>
      </c>
      <c r="E120" s="207">
        <f>'[1]Beschr-Descr.'!E57</f>
        <v>0</v>
      </c>
    </row>
    <row r="121" spans="1:5" x14ac:dyDescent="0.2">
      <c r="A121" s="345">
        <f>'[1]Beschr-Descr.'!A58</f>
        <v>0</v>
      </c>
      <c r="C121" s="345">
        <f>'[1]Beschr-Descr.'!C58</f>
        <v>0</v>
      </c>
      <c r="D121" s="345">
        <f>'[1]Beschr-Descr.'!D58</f>
        <v>0</v>
      </c>
      <c r="E121" s="207">
        <f>'[1]Beschr-Descr.'!E58</f>
        <v>0</v>
      </c>
    </row>
    <row r="122" spans="1:5" x14ac:dyDescent="0.2">
      <c r="A122" s="345">
        <f>'[1]Beschr-Descr.'!A63</f>
        <v>0</v>
      </c>
    </row>
    <row r="123" spans="1:5" x14ac:dyDescent="0.2">
      <c r="A123" s="345">
        <f>'[1]Beschr-Descr.'!A64</f>
        <v>0</v>
      </c>
    </row>
    <row r="124" spans="1:5" x14ac:dyDescent="0.2">
      <c r="A124" s="345">
        <f>'[1]Beschr-Descr.'!A65</f>
        <v>0</v>
      </c>
    </row>
    <row r="125" spans="1:5" x14ac:dyDescent="0.2">
      <c r="A125" s="345">
        <f>'[1]Beschr-Descr.'!A66</f>
        <v>0</v>
      </c>
    </row>
    <row r="126" spans="1:5" x14ac:dyDescent="0.2">
      <c r="A126" s="345">
        <f>'[1]Beschr-Descr.'!A67</f>
        <v>0</v>
      </c>
    </row>
    <row r="127" spans="1:5" x14ac:dyDescent="0.2">
      <c r="A127" s="345">
        <f>'[1]Beschr-Descr.'!A68</f>
        <v>0</v>
      </c>
    </row>
    <row r="128" spans="1:5" x14ac:dyDescent="0.2">
      <c r="A128" s="345">
        <f>'[1]Beschr-Descr.'!A69</f>
        <v>0</v>
      </c>
    </row>
    <row r="129" spans="1:1" x14ac:dyDescent="0.2">
      <c r="A129" s="345">
        <f>'[1]Beschr-Descr.'!A70</f>
        <v>0</v>
      </c>
    </row>
    <row r="130" spans="1:1" x14ac:dyDescent="0.2">
      <c r="A130" s="345">
        <f>'[1]Beschr-Descr.'!A71</f>
        <v>0</v>
      </c>
    </row>
    <row r="131" spans="1:1" x14ac:dyDescent="0.2">
      <c r="A131" s="345">
        <f>'[1]Beschr-Descr.'!A72</f>
        <v>0</v>
      </c>
    </row>
    <row r="132" spans="1:1" x14ac:dyDescent="0.2">
      <c r="A132" s="345">
        <f>'[1]Beschr-Descr.'!A73</f>
        <v>0</v>
      </c>
    </row>
    <row r="133" spans="1:1" x14ac:dyDescent="0.2">
      <c r="A133" s="345">
        <f>'[1]Beschr-Descr.'!A74</f>
        <v>0</v>
      </c>
    </row>
    <row r="134" spans="1:1" x14ac:dyDescent="0.2">
      <c r="A134" s="345">
        <f>'[1]Beschr-Descr.'!A75</f>
        <v>0</v>
      </c>
    </row>
    <row r="135" spans="1:1" x14ac:dyDescent="0.2">
      <c r="A135" s="345">
        <f>'[1]Beschr-Descr.'!A76</f>
        <v>0</v>
      </c>
    </row>
    <row r="136" spans="1:1" x14ac:dyDescent="0.2">
      <c r="A136" s="345">
        <f>'[1]Beschr-Descr.'!A77</f>
        <v>0</v>
      </c>
    </row>
    <row r="137" spans="1:1" x14ac:dyDescent="0.2">
      <c r="A137" s="345">
        <f>'[1]Beschr-Descr.'!A78</f>
        <v>0</v>
      </c>
    </row>
    <row r="138" spans="1:1" x14ac:dyDescent="0.2">
      <c r="A138" s="345">
        <f>'[1]Beschr-Descr.'!A79</f>
        <v>0</v>
      </c>
    </row>
    <row r="139" spans="1:1" x14ac:dyDescent="0.2">
      <c r="A139" s="345">
        <f>'[1]Beschr-Descr.'!A80</f>
        <v>0</v>
      </c>
    </row>
    <row r="140" spans="1:1" x14ac:dyDescent="0.2">
      <c r="A140" s="345">
        <f>'[1]Beschr-Descr.'!A81</f>
        <v>0</v>
      </c>
    </row>
    <row r="141" spans="1:1" x14ac:dyDescent="0.2">
      <c r="A141" s="345">
        <f>'[1]Beschr-Descr.'!A82</f>
        <v>0</v>
      </c>
    </row>
    <row r="142" spans="1:1" x14ac:dyDescent="0.2">
      <c r="A142" s="345">
        <f>'[1]Beschr-Descr.'!A83</f>
        <v>0</v>
      </c>
    </row>
    <row r="143" spans="1:1" x14ac:dyDescent="0.2">
      <c r="A143" s="345">
        <f>'[1]Beschr-Descr.'!A84</f>
        <v>0</v>
      </c>
    </row>
    <row r="144" spans="1:1" x14ac:dyDescent="0.2">
      <c r="A144" s="345">
        <f>'[1]Beschr-Descr.'!A85</f>
        <v>0</v>
      </c>
    </row>
    <row r="145" spans="1:1" x14ac:dyDescent="0.2">
      <c r="A145" s="345">
        <f>'[1]Beschr-Descr.'!A86</f>
        <v>0</v>
      </c>
    </row>
    <row r="146" spans="1:1" x14ac:dyDescent="0.2">
      <c r="A146" s="345">
        <f>'[1]Beschr-Descr.'!A87</f>
        <v>0</v>
      </c>
    </row>
    <row r="147" spans="1:1" x14ac:dyDescent="0.2">
      <c r="A147" s="345">
        <f>'[1]Beschr-Descr.'!A88</f>
        <v>0</v>
      </c>
    </row>
    <row r="148" spans="1:1" x14ac:dyDescent="0.2">
      <c r="A148" s="345">
        <f>'[1]Beschr-Descr.'!A89</f>
        <v>0</v>
      </c>
    </row>
    <row r="149" spans="1:1" x14ac:dyDescent="0.2">
      <c r="A149" s="345">
        <f>'[1]Beschr-Descr.'!A90</f>
        <v>0</v>
      </c>
    </row>
    <row r="150" spans="1:1" x14ac:dyDescent="0.2">
      <c r="A150" s="345">
        <f>'[1]Beschr-Descr.'!A91</f>
        <v>0</v>
      </c>
    </row>
    <row r="151" spans="1:1" x14ac:dyDescent="0.2">
      <c r="A151" s="345">
        <f>'[1]Beschr-Descr.'!A92</f>
        <v>0</v>
      </c>
    </row>
    <row r="152" spans="1:1" x14ac:dyDescent="0.2">
      <c r="A152" s="345">
        <f>'[1]Beschr-Descr.'!A93</f>
        <v>0</v>
      </c>
    </row>
    <row r="153" spans="1:1" x14ac:dyDescent="0.2">
      <c r="A153" s="345">
        <f>'[1]Beschr-Descr.'!A94</f>
        <v>0</v>
      </c>
    </row>
    <row r="154" spans="1:1" x14ac:dyDescent="0.2">
      <c r="A154" s="345">
        <f>'[1]Beschr-Descr.'!A95</f>
        <v>0</v>
      </c>
    </row>
    <row r="155" spans="1:1" x14ac:dyDescent="0.2">
      <c r="A155" s="345">
        <f>'[1]Beschr-Descr.'!A96</f>
        <v>0</v>
      </c>
    </row>
    <row r="156" spans="1:1" x14ac:dyDescent="0.2">
      <c r="A156" s="345">
        <f>'[1]Beschr-Descr.'!A97</f>
        <v>0</v>
      </c>
    </row>
    <row r="157" spans="1:1" x14ac:dyDescent="0.2">
      <c r="A157" s="345">
        <f>'[1]Beschr-Descr.'!A98</f>
        <v>0</v>
      </c>
    </row>
    <row r="158" spans="1:1" x14ac:dyDescent="0.2">
      <c r="A158" s="345">
        <f>'[1]Beschr-Descr.'!A99</f>
        <v>0</v>
      </c>
    </row>
    <row r="159" spans="1:1" x14ac:dyDescent="0.2">
      <c r="A159" s="345">
        <f>'[1]Beschr-Descr.'!A100</f>
        <v>0</v>
      </c>
    </row>
    <row r="160" spans="1:1" x14ac:dyDescent="0.2">
      <c r="A160" s="345">
        <f>'[1]Beschr-Descr.'!A101</f>
        <v>0</v>
      </c>
    </row>
    <row r="161" spans="1:1" x14ac:dyDescent="0.2">
      <c r="A161" s="345">
        <f>'[1]Beschr-Descr.'!A102</f>
        <v>0</v>
      </c>
    </row>
  </sheetData>
  <mergeCells count="70">
    <mergeCell ref="N60:O60"/>
    <mergeCell ref="J54:O54"/>
    <mergeCell ref="J57:O57"/>
    <mergeCell ref="N55:O55"/>
    <mergeCell ref="N56:O56"/>
    <mergeCell ref="N58:O58"/>
    <mergeCell ref="N59:O59"/>
    <mergeCell ref="A28:C28"/>
    <mergeCell ref="S41:S43"/>
    <mergeCell ref="E46:F46"/>
    <mergeCell ref="E43:F43"/>
    <mergeCell ref="E44:F44"/>
    <mergeCell ref="E45:F45"/>
    <mergeCell ref="A26:C26"/>
    <mergeCell ref="A27:C27"/>
    <mergeCell ref="A19:C19"/>
    <mergeCell ref="A20:C20"/>
    <mergeCell ref="A24:C24"/>
    <mergeCell ref="A25:C25"/>
    <mergeCell ref="A22:C22"/>
    <mergeCell ref="A21:C21"/>
    <mergeCell ref="A23:C23"/>
    <mergeCell ref="E59:F59"/>
    <mergeCell ref="E54:F54"/>
    <mergeCell ref="E58:F58"/>
    <mergeCell ref="E55:F55"/>
    <mergeCell ref="E56:F56"/>
    <mergeCell ref="E57:F57"/>
    <mergeCell ref="E9:F9"/>
    <mergeCell ref="E18:F18"/>
    <mergeCell ref="E12:F12"/>
    <mergeCell ref="E15:F15"/>
    <mergeCell ref="E16:F16"/>
    <mergeCell ref="E13:F13"/>
    <mergeCell ref="E14:F14"/>
    <mergeCell ref="U53:U54"/>
    <mergeCell ref="N50:N51"/>
    <mergeCell ref="O50:O51"/>
    <mergeCell ref="T53:T54"/>
    <mergeCell ref="E3:F3"/>
    <mergeCell ref="E7:F7"/>
    <mergeCell ref="E5:F5"/>
    <mergeCell ref="E8:F8"/>
    <mergeCell ref="E50:F50"/>
    <mergeCell ref="E51:F51"/>
    <mergeCell ref="E52:F52"/>
    <mergeCell ref="O10:O18"/>
    <mergeCell ref="Q53:R53"/>
    <mergeCell ref="S53:S54"/>
    <mergeCell ref="N10:N18"/>
    <mergeCell ref="E11:F11"/>
    <mergeCell ref="E48:F48"/>
    <mergeCell ref="U41:U43"/>
    <mergeCell ref="Q41:R42"/>
    <mergeCell ref="T41:T43"/>
    <mergeCell ref="E49:F49"/>
    <mergeCell ref="E47:F47"/>
    <mergeCell ref="J52:O52"/>
    <mergeCell ref="Q5:S6"/>
    <mergeCell ref="Q7:S8"/>
    <mergeCell ref="J1:O1"/>
    <mergeCell ref="J8:O9"/>
    <mergeCell ref="J10:J18"/>
    <mergeCell ref="K10:K18"/>
    <mergeCell ref="M10:M18"/>
    <mergeCell ref="Q10:S11"/>
    <mergeCell ref="K50:K51"/>
    <mergeCell ref="M50:M51"/>
    <mergeCell ref="L10:L18"/>
    <mergeCell ref="L50:L51"/>
  </mergeCells>
  <phoneticPr fontId="2" type="noConversion"/>
  <dataValidations count="2">
    <dataValidation type="list" allowBlank="1" showInputMessage="1" showErrorMessage="1" sqref="E19:E28" xr:uid="{00000000-0002-0000-0B00-000000000000}">
      <formula1>$F$67:$F$70</formula1>
    </dataValidation>
    <dataValidation type="list" allowBlank="1" showInputMessage="1" showErrorMessage="1" sqref="A19:C28" xr:uid="{00000000-0002-0000-0B00-000001000000}">
      <formula1>$A$67:$A$149</formula1>
    </dataValidation>
  </dataValidations>
  <printOptions horizontalCentered="1" verticalCentered="1"/>
  <pageMargins left="0.19685039370078741" right="0.19685039370078741" top="0.39370078740157483" bottom="0.39370078740157483" header="0" footer="0.19685039370078741"/>
  <pageSetup paperSize="9" orientation="portrait" r:id="rId1"/>
  <headerFooter alignWithMargins="0">
    <oddFooter>&amp;C&amp;"Calibri,Standard"Lohnberechnung FRINO PRO 2017 von Dr. Friedrich Nöckler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3316" r:id="rId4" name="Drop Down 4">
              <controlPr defaultSize="0" print="0" autoLine="0" autoPict="0">
                <anchor moveWithCells="1">
                  <from>
                    <xdr:col>5</xdr:col>
                    <xdr:colOff>371475</xdr:colOff>
                    <xdr:row>2</xdr:row>
                    <xdr:rowOff>0</xdr:rowOff>
                  </from>
                  <to>
                    <xdr:col>8</xdr:col>
                    <xdr:colOff>514350</xdr:colOff>
                    <xdr:row>3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13"/>
  <dimension ref="A1:Z161"/>
  <sheetViews>
    <sheetView showGridLines="0" showZeros="0" workbookViewId="0"/>
  </sheetViews>
  <sheetFormatPr baseColWidth="10" defaultRowHeight="12.75" x14ac:dyDescent="0.2"/>
  <cols>
    <col min="1" max="1" width="11.28515625" customWidth="1"/>
    <col min="2" max="2" width="11.7109375" customWidth="1"/>
    <col min="3" max="3" width="10.85546875" customWidth="1"/>
    <col min="4" max="4" width="11.28515625" customWidth="1"/>
    <col min="5" max="5" width="5.42578125" customWidth="1"/>
    <col min="6" max="6" width="6" customWidth="1"/>
    <col min="7" max="7" width="11.140625" customWidth="1"/>
    <col min="8" max="8" width="9.85546875" customWidth="1"/>
    <col min="9" max="9" width="9.140625" customWidth="1"/>
    <col min="10" max="10" width="2.5703125" style="277" customWidth="1"/>
    <col min="11" max="15" width="2.140625" customWidth="1"/>
    <col min="16" max="16" width="2.28515625" customWidth="1"/>
    <col min="17" max="17" width="11.28515625" customWidth="1"/>
    <col min="18" max="18" width="10.7109375" customWidth="1"/>
    <col min="19" max="19" width="11.85546875" customWidth="1"/>
    <col min="21" max="21" width="12" customWidth="1"/>
    <col min="22" max="24" width="10.7109375" customWidth="1"/>
  </cols>
  <sheetData>
    <row r="1" spans="1:26" s="144" customFormat="1" ht="16.5" customHeight="1" x14ac:dyDescent="0.2">
      <c r="A1" s="316" t="s">
        <v>106</v>
      </c>
      <c r="B1" s="317"/>
      <c r="C1" s="317"/>
      <c r="D1" s="317"/>
      <c r="E1" s="317"/>
      <c r="F1" s="317"/>
      <c r="G1" s="317"/>
      <c r="H1" s="317"/>
      <c r="I1" s="318" t="s">
        <v>47</v>
      </c>
      <c r="J1" s="584" t="str">
        <f>[1]Firma!$A$22</f>
        <v>13. M.</v>
      </c>
      <c r="K1" s="584"/>
      <c r="L1" s="584"/>
      <c r="M1" s="584"/>
      <c r="N1" s="584"/>
      <c r="O1" s="585"/>
      <c r="P1" s="143"/>
      <c r="Q1" s="143"/>
      <c r="R1" s="143"/>
      <c r="S1" s="143"/>
      <c r="T1" s="143"/>
      <c r="U1" s="143"/>
      <c r="V1" s="143"/>
      <c r="W1" s="143"/>
      <c r="X1" s="143"/>
      <c r="Y1" s="143"/>
      <c r="Z1" s="143"/>
    </row>
    <row r="2" spans="1:26" s="124" customFormat="1" ht="12.75" customHeight="1" x14ac:dyDescent="0.2">
      <c r="A2" s="199" t="s">
        <v>107</v>
      </c>
      <c r="B2" s="200"/>
      <c r="C2" s="200"/>
      <c r="D2" s="201"/>
      <c r="E2" s="188" t="s">
        <v>132</v>
      </c>
      <c r="F2" s="202"/>
      <c r="G2" s="200"/>
      <c r="H2" s="200"/>
      <c r="I2" s="203"/>
      <c r="J2" s="302"/>
      <c r="K2" s="201"/>
      <c r="L2" s="201"/>
      <c r="M2" s="201"/>
      <c r="N2" s="200"/>
      <c r="O2" s="303"/>
      <c r="P2" s="121"/>
      <c r="Q2" s="121"/>
      <c r="R2" s="121"/>
      <c r="S2" s="121"/>
      <c r="T2" s="121"/>
      <c r="U2" s="121"/>
      <c r="V2" s="121"/>
      <c r="W2" s="121"/>
      <c r="X2" s="121"/>
      <c r="Y2" s="121"/>
      <c r="Z2" s="121"/>
    </row>
    <row r="3" spans="1:26" ht="16.899999999999999" customHeight="1" x14ac:dyDescent="0.2">
      <c r="A3" s="88" t="s">
        <v>100</v>
      </c>
      <c r="B3" s="83" t="str">
        <f>[1]Firma!$A$4</f>
        <v>Asues GmbH</v>
      </c>
      <c r="C3" s="1"/>
      <c r="D3" s="1"/>
      <c r="E3" s="555" t="s">
        <v>126</v>
      </c>
      <c r="F3" s="556"/>
      <c r="G3" s="1" t="str">
        <f>VLOOKUP(P3,'[1]Mit-1'!$A$5:$B$19,2,FALSE)</f>
        <v>AAAAA BBBBB</v>
      </c>
      <c r="H3" s="1"/>
      <c r="I3" s="2"/>
      <c r="J3" s="304"/>
      <c r="K3" s="72"/>
      <c r="L3" s="72"/>
      <c r="M3" s="72"/>
      <c r="N3" s="72"/>
      <c r="O3" s="134"/>
      <c r="P3" s="72">
        <v>1</v>
      </c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0.5" customHeight="1" x14ac:dyDescent="0.2">
      <c r="A4" s="87" t="s">
        <v>101</v>
      </c>
      <c r="B4" s="3" t="str">
        <f>[1]Firma!$B$4</f>
        <v>Josef-Ferrari-Straße 12; 39031 Bruneck (BZ)</v>
      </c>
      <c r="C4" s="3"/>
      <c r="D4" s="3"/>
      <c r="E4" s="187" t="s">
        <v>127</v>
      </c>
      <c r="G4" s="30" t="str">
        <f>VLOOKUP($P$3,'[1]Mit-1'!$A$5:$U$19,3,FALSE)</f>
        <v>Michael-Pacher-Straße 10, 39031 Bruneck</v>
      </c>
      <c r="I4" s="134"/>
      <c r="N4" s="1"/>
      <c r="O4" s="2"/>
      <c r="P4" s="1"/>
      <c r="V4" s="1"/>
      <c r="W4" s="1"/>
      <c r="X4" s="1"/>
      <c r="Y4" s="1"/>
      <c r="Z4" s="1"/>
    </row>
    <row r="5" spans="1:26" ht="16.899999999999999" customHeight="1" x14ac:dyDescent="0.2">
      <c r="A5" s="88" t="s">
        <v>102</v>
      </c>
      <c r="B5" s="288" t="str">
        <f>[1]Firma!$C$4</f>
        <v>IT09997110213</v>
      </c>
      <c r="C5" s="3"/>
      <c r="D5" s="3"/>
      <c r="E5" s="555" t="s">
        <v>103</v>
      </c>
      <c r="F5" s="556"/>
      <c r="G5" s="30" t="str">
        <f>VLOOKUP($P$3,'[1]Mit-1'!$A$5:$U$19,6,FALSE)</f>
        <v>AAABBB84B11B220G</v>
      </c>
      <c r="I5" s="2"/>
      <c r="K5" s="1"/>
      <c r="L5" s="1"/>
      <c r="M5" s="1"/>
      <c r="N5" s="1"/>
      <c r="O5" s="2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6.899999999999999" customHeight="1" x14ac:dyDescent="0.2">
      <c r="A6" s="88" t="s">
        <v>103</v>
      </c>
      <c r="B6" s="288" t="str">
        <f>[1]Firma!$D$4</f>
        <v>09997110213</v>
      </c>
      <c r="C6" s="3"/>
      <c r="D6" s="3"/>
      <c r="E6" s="187" t="s">
        <v>128</v>
      </c>
      <c r="G6" s="149">
        <f>VLOOKUP($P$3,'[1]Mit-1'!$A$28:$C$42,3,FALSE)</f>
        <v>1</v>
      </c>
      <c r="H6" s="89" t="s">
        <v>9</v>
      </c>
      <c r="I6" s="54">
        <f>VLOOKUP($P$3,'[1]Mit-1'!$A$5:$U$19,7,FALSE)</f>
        <v>45597</v>
      </c>
      <c r="N6" s="1"/>
      <c r="O6" s="2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16.899999999999999" customHeight="1" x14ac:dyDescent="0.2">
      <c r="A7" s="87" t="s">
        <v>104</v>
      </c>
      <c r="B7" s="288" t="str">
        <f>[1]Firma!$E$4</f>
        <v>1420030006</v>
      </c>
      <c r="C7" s="3"/>
      <c r="D7" s="3"/>
      <c r="E7" s="555" t="s">
        <v>129</v>
      </c>
      <c r="F7" s="556"/>
      <c r="G7" s="36">
        <f>VLOOKUP($P$3,'[1]Mit-1'!$A$5:$U$19,4,FALSE)</f>
        <v>30723</v>
      </c>
      <c r="H7" s="90" t="s">
        <v>10</v>
      </c>
      <c r="I7" s="53" t="str">
        <f>VLOOKUP($P$3,'[1]Mit-1'!$A$5:$U$19,5,FALSE)</f>
        <v>Bruneck</v>
      </c>
      <c r="N7" s="1"/>
      <c r="O7" s="2"/>
      <c r="P7" s="1"/>
      <c r="R7" s="1"/>
      <c r="S7" s="1"/>
      <c r="T7" s="1"/>
      <c r="U7" s="1"/>
      <c r="V7" s="1"/>
      <c r="W7" s="1"/>
      <c r="X7" s="1"/>
      <c r="Y7" s="1"/>
      <c r="Z7" s="1"/>
    </row>
    <row r="8" spans="1:26" ht="16.899999999999999" customHeight="1" x14ac:dyDescent="0.2">
      <c r="A8" s="87" t="s">
        <v>105</v>
      </c>
      <c r="B8" s="288" t="str">
        <f>[1]Firma!$F$4</f>
        <v>13625</v>
      </c>
      <c r="C8" s="3"/>
      <c r="D8" s="3"/>
      <c r="E8" s="555" t="s">
        <v>130</v>
      </c>
      <c r="F8" s="556"/>
      <c r="G8" s="149">
        <f>VLOOKUP($P$3,'[1]Mit-2'!$A$5:$P$19,15,FALSE)</f>
        <v>2</v>
      </c>
      <c r="H8" s="91" t="s">
        <v>231</v>
      </c>
      <c r="I8" s="150">
        <f>VLOOKUP($P$3,'[1]Mit-2'!$A$46:$AD$60,29,FALSE)</f>
        <v>0</v>
      </c>
      <c r="J8" s="475" t="s">
        <v>226</v>
      </c>
      <c r="K8" s="476"/>
      <c r="L8" s="476"/>
      <c r="M8" s="476"/>
      <c r="N8" s="476"/>
      <c r="O8" s="477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6.899999999999999" customHeight="1" x14ac:dyDescent="0.2">
      <c r="A9" s="135"/>
      <c r="B9" s="72"/>
      <c r="C9" s="72"/>
      <c r="D9" s="72"/>
      <c r="E9" s="555" t="s">
        <v>131</v>
      </c>
      <c r="F9" s="556"/>
      <c r="G9" s="447">
        <f>VLOOKUP($P$3,'[1]Mit-2'!$A$5:$AD$19,29,FALSE)</f>
        <v>100</v>
      </c>
      <c r="H9" s="90" t="s">
        <v>232</v>
      </c>
      <c r="I9" s="129"/>
      <c r="J9" s="478"/>
      <c r="K9" s="479"/>
      <c r="L9" s="479"/>
      <c r="M9" s="479"/>
      <c r="N9" s="479"/>
      <c r="O9" s="480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10.9" customHeight="1" x14ac:dyDescent="0.2">
      <c r="A10" s="189" t="s">
        <v>108</v>
      </c>
      <c r="B10" s="26"/>
      <c r="C10" s="26"/>
      <c r="D10" s="26"/>
      <c r="E10" s="26"/>
      <c r="F10" s="26"/>
      <c r="G10" s="26"/>
      <c r="H10" s="26"/>
      <c r="I10" s="190"/>
      <c r="J10" s="481" t="s">
        <v>227</v>
      </c>
      <c r="K10" s="484" t="s">
        <v>228</v>
      </c>
      <c r="L10" s="487" t="s">
        <v>229</v>
      </c>
      <c r="M10" s="487" t="s">
        <v>264</v>
      </c>
      <c r="N10" s="487" t="s">
        <v>265</v>
      </c>
      <c r="O10" s="557" t="s">
        <v>266</v>
      </c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s="94" customFormat="1" ht="13.9" customHeight="1" x14ac:dyDescent="0.15">
      <c r="A11" s="181" t="s">
        <v>16</v>
      </c>
      <c r="B11" s="182" t="s">
        <v>11</v>
      </c>
      <c r="C11" s="182" t="s">
        <v>12</v>
      </c>
      <c r="D11" s="182" t="s">
        <v>13</v>
      </c>
      <c r="E11" s="544" t="s">
        <v>14</v>
      </c>
      <c r="F11" s="545"/>
      <c r="G11" s="182" t="s">
        <v>15</v>
      </c>
      <c r="H11" s="183" t="s">
        <v>218</v>
      </c>
      <c r="I11" s="186"/>
      <c r="J11" s="482"/>
      <c r="K11" s="485"/>
      <c r="L11" s="488"/>
      <c r="M11" s="488"/>
      <c r="N11" s="488"/>
      <c r="O11" s="558"/>
      <c r="P11" s="93"/>
      <c r="Q11" s="93"/>
      <c r="R11" s="93"/>
      <c r="S11" s="93"/>
      <c r="T11" s="93"/>
      <c r="U11" s="93"/>
      <c r="V11" s="93"/>
      <c r="W11" s="93"/>
      <c r="X11" s="93"/>
      <c r="Y11" s="93"/>
      <c r="Z11" s="93"/>
    </row>
    <row r="12" spans="1:26" x14ac:dyDescent="0.2">
      <c r="A12" s="171">
        <f>VLOOKUP($G$8,'[1]Lohntab-Tab-retr.'!$A$7:$O$15,14,FALSE)</f>
        <v>1477.83</v>
      </c>
      <c r="B12" s="172">
        <f>VLOOKUP($G$8,'[1]Lohntab-Tab-retr.'!$A$21:$O$29,14,FALSE)</f>
        <v>532.54</v>
      </c>
      <c r="C12" s="172">
        <f>I8*VLOOKUP($G$8,'[1]Lohntab-Tab-retr.'!$A$63:$O$71,14,FALSE)</f>
        <v>0</v>
      </c>
      <c r="D12" s="172">
        <f>VLOOKUP($G$8,'[1]Lohntab-Tab-retr.'!$A$35:$O$43,14,FALSE)</f>
        <v>0</v>
      </c>
      <c r="E12" s="560">
        <f>VLOOKUP($G$8,'[1]Lohntab-Tab-retr.'!$A$49:$O$57,14,FALSE)</f>
        <v>8</v>
      </c>
      <c r="F12" s="560"/>
      <c r="G12" s="172">
        <f>VLOOKUP($P$3,'[1]Mit-2'!$A$24:$P$38,15,FALSE)</f>
        <v>0</v>
      </c>
      <c r="H12" s="172">
        <f>VLOOKUP($G$8,'[1]Lohntab-Tab-retr.'!$A$77:$O$85,14,FALSE)</f>
        <v>0</v>
      </c>
      <c r="I12" s="173"/>
      <c r="J12" s="482"/>
      <c r="K12" s="485"/>
      <c r="L12" s="488"/>
      <c r="M12" s="488"/>
      <c r="N12" s="488"/>
      <c r="O12" s="558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s="94" customFormat="1" ht="13.9" customHeight="1" x14ac:dyDescent="0.15">
      <c r="A13" s="168" t="s">
        <v>17</v>
      </c>
      <c r="B13" s="169" t="s">
        <v>18</v>
      </c>
      <c r="C13" s="169" t="s">
        <v>19</v>
      </c>
      <c r="D13" s="169" t="s">
        <v>20</v>
      </c>
      <c r="E13" s="561" t="s">
        <v>24</v>
      </c>
      <c r="F13" s="562"/>
      <c r="G13" s="169" t="s">
        <v>23</v>
      </c>
      <c r="H13" s="170" t="s">
        <v>21</v>
      </c>
      <c r="I13" s="177" t="s">
        <v>22</v>
      </c>
      <c r="J13" s="482"/>
      <c r="K13" s="485"/>
      <c r="L13" s="488"/>
      <c r="M13" s="488"/>
      <c r="N13" s="488"/>
      <c r="O13" s="558"/>
      <c r="P13" s="93"/>
      <c r="Q13" s="93"/>
      <c r="R13" s="93"/>
      <c r="S13" s="93"/>
      <c r="T13" s="93"/>
      <c r="U13" s="93"/>
      <c r="V13" s="93"/>
      <c r="W13" s="93"/>
      <c r="X13" s="93"/>
      <c r="Y13" s="93"/>
      <c r="Z13" s="93"/>
    </row>
    <row r="14" spans="1:26" x14ac:dyDescent="0.2">
      <c r="A14" s="178">
        <f>[1]Tab!G140</f>
        <v>168</v>
      </c>
      <c r="B14" s="240">
        <f>[1]Tab!G141</f>
        <v>26</v>
      </c>
      <c r="C14" s="179">
        <f>ROUND(I14/A14,5)</f>
        <v>12.014110000000001</v>
      </c>
      <c r="D14" s="179">
        <f>ROUND(I14/B14,5)</f>
        <v>77.629620000000003</v>
      </c>
      <c r="E14" s="587"/>
      <c r="F14" s="587"/>
      <c r="G14" s="148"/>
      <c r="H14" s="148"/>
      <c r="I14" s="180">
        <f>SUM(A12:I12)</f>
        <v>2018.37</v>
      </c>
      <c r="J14" s="482"/>
      <c r="K14" s="485"/>
      <c r="L14" s="488"/>
      <c r="M14" s="488"/>
      <c r="N14" s="488"/>
      <c r="O14" s="558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</row>
    <row r="15" spans="1:26" s="94" customFormat="1" ht="13.9" customHeight="1" x14ac:dyDescent="0.15">
      <c r="A15" s="174" t="s">
        <v>26</v>
      </c>
      <c r="B15" s="175" t="s">
        <v>27</v>
      </c>
      <c r="C15" s="175" t="s">
        <v>25</v>
      </c>
      <c r="D15" s="146"/>
      <c r="E15" s="588"/>
      <c r="F15" s="589"/>
      <c r="G15" s="146"/>
      <c r="H15" s="146"/>
      <c r="I15" s="176"/>
      <c r="J15" s="482"/>
      <c r="K15" s="485"/>
      <c r="L15" s="488"/>
      <c r="M15" s="488"/>
      <c r="N15" s="488"/>
      <c r="O15" s="558"/>
      <c r="P15" s="93"/>
      <c r="Q15" s="93"/>
      <c r="R15" s="93"/>
      <c r="S15" s="93"/>
      <c r="T15" s="93"/>
      <c r="U15" s="93"/>
      <c r="V15" s="93"/>
      <c r="W15" s="93"/>
      <c r="X15" s="93"/>
      <c r="Y15" s="93"/>
      <c r="Z15" s="93"/>
    </row>
    <row r="16" spans="1:26" x14ac:dyDescent="0.2">
      <c r="A16" s="441">
        <f>VLOOKUP($P$3,'[1]Mit-2'!$A$90:$P$104,3,FALSE)</f>
        <v>0</v>
      </c>
      <c r="B16" s="443"/>
      <c r="C16" s="184"/>
      <c r="D16" s="442"/>
      <c r="E16" s="586"/>
      <c r="F16" s="586"/>
      <c r="G16" s="147"/>
      <c r="H16" s="147"/>
      <c r="I16" s="185"/>
      <c r="J16" s="482"/>
      <c r="K16" s="485"/>
      <c r="L16" s="488"/>
      <c r="M16" s="488"/>
      <c r="N16" s="488"/>
      <c r="O16" s="558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</row>
    <row r="17" spans="1:26" ht="3.75" customHeight="1" x14ac:dyDescent="0.2">
      <c r="A17" s="167"/>
      <c r="B17" s="29"/>
      <c r="C17" s="29"/>
      <c r="D17" s="29"/>
      <c r="E17" s="29"/>
      <c r="F17" s="29"/>
      <c r="G17" s="29"/>
      <c r="H17" s="29"/>
      <c r="I17" s="35"/>
      <c r="J17" s="482"/>
      <c r="K17" s="485"/>
      <c r="L17" s="488"/>
      <c r="M17" s="488"/>
      <c r="N17" s="488"/>
      <c r="O17" s="558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s="92" customFormat="1" ht="16.899999999999999" customHeight="1" x14ac:dyDescent="0.15">
      <c r="A18" s="162" t="s">
        <v>28</v>
      </c>
      <c r="B18" s="163"/>
      <c r="C18" s="163"/>
      <c r="D18" s="96"/>
      <c r="E18" s="535" t="s">
        <v>29</v>
      </c>
      <c r="F18" s="536"/>
      <c r="G18" s="99" t="s">
        <v>31</v>
      </c>
      <c r="H18" s="86" t="s">
        <v>30</v>
      </c>
      <c r="I18" s="100" t="s">
        <v>233</v>
      </c>
      <c r="J18" s="483"/>
      <c r="K18" s="486"/>
      <c r="L18" s="489"/>
      <c r="M18" s="489"/>
      <c r="N18" s="489"/>
      <c r="O18" s="559"/>
      <c r="P18" s="97"/>
      <c r="V18" s="98"/>
      <c r="W18" s="98"/>
      <c r="X18" s="98"/>
      <c r="Y18" s="97"/>
      <c r="Z18" s="97"/>
    </row>
    <row r="19" spans="1:26" ht="12" customHeight="1" x14ac:dyDescent="0.2">
      <c r="A19" s="533"/>
      <c r="B19" s="534"/>
      <c r="C19" s="534"/>
      <c r="D19" s="417"/>
      <c r="E19" s="418"/>
      <c r="F19" s="419"/>
      <c r="G19" s="206">
        <f>VLOOKUP(A19,A66:F121,5,FALSE)</f>
        <v>0</v>
      </c>
      <c r="H19" s="308">
        <f>IF(E19="",0,IF(A19="",0,IF(E19="Std-ore",ROUND(C$14+C$14*G19,5),IF(E19="Tage-gg.",ROUND(D$14+D$14*G19,5),IF(E19="Monat-mese",ROUND($I$14+$I$14*G19,2))))))</f>
        <v>0</v>
      </c>
      <c r="I19" s="151">
        <f>ROUND(H19*F19,2)</f>
        <v>0</v>
      </c>
      <c r="J19" s="305">
        <v>1</v>
      </c>
      <c r="K19" s="433"/>
      <c r="L19" s="434"/>
      <c r="M19" s="434"/>
      <c r="N19" s="434"/>
      <c r="O19" s="411"/>
      <c r="P19" s="6"/>
      <c r="V19" s="1"/>
      <c r="W19" s="1"/>
      <c r="X19" s="1"/>
      <c r="Y19" s="7"/>
      <c r="Z19" s="6"/>
    </row>
    <row r="20" spans="1:26" ht="12" customHeight="1" x14ac:dyDescent="0.2">
      <c r="A20" s="526"/>
      <c r="B20" s="527"/>
      <c r="C20" s="527"/>
      <c r="D20" s="420"/>
      <c r="E20" s="421"/>
      <c r="F20" s="422"/>
      <c r="G20" s="206">
        <f>VLOOKUP(A20,A67:F122,5,FALSE)</f>
        <v>0</v>
      </c>
      <c r="H20" s="308">
        <f t="shared" ref="H20:H28" si="0">IF(E20="",0,IF(A20="",0,IF(E20="Std-ore",ROUND(C$14+C$14*G20,5),IF(E20="Tage-gg.",ROUND(D$14+D$14*G20,5),IF(E20="Monat-mese",ROUND($I$14+$I$14*G20,2))))))</f>
        <v>0</v>
      </c>
      <c r="I20" s="152">
        <f t="shared" ref="I20:I28" si="1">IF(A20="Abzug Bruttoberechnung Krankengeld INPS",ROUND(I19*G20,2),ROUND(H20*F20,2))</f>
        <v>0</v>
      </c>
      <c r="J20" s="306">
        <v>2</v>
      </c>
      <c r="K20" s="435"/>
      <c r="L20" s="436"/>
      <c r="M20" s="436"/>
      <c r="N20" s="436"/>
      <c r="O20" s="414"/>
      <c r="P20" s="6"/>
      <c r="V20" s="28"/>
      <c r="W20" s="6"/>
    </row>
    <row r="21" spans="1:26" ht="12" customHeight="1" x14ac:dyDescent="0.2">
      <c r="A21" s="526"/>
      <c r="B21" s="527"/>
      <c r="C21" s="527"/>
      <c r="D21" s="420"/>
      <c r="E21" s="421"/>
      <c r="F21" s="422"/>
      <c r="G21" s="206">
        <f>VLOOKUP(A21,A66:F121,5,FALSE)</f>
        <v>0</v>
      </c>
      <c r="H21" s="308">
        <f t="shared" si="0"/>
        <v>0</v>
      </c>
      <c r="I21" s="152">
        <f>IF(A21="Abzug Bruttoberechnung Krankengeld INPS",ROUND(I18*G21,2),ROUND(H21*F21,2))</f>
        <v>0</v>
      </c>
      <c r="J21" s="306">
        <v>3</v>
      </c>
      <c r="K21" s="435"/>
      <c r="L21" s="436"/>
      <c r="M21" s="436"/>
      <c r="N21" s="436"/>
      <c r="O21" s="414"/>
      <c r="P21" s="6"/>
      <c r="V21" s="28"/>
      <c r="W21" s="6"/>
    </row>
    <row r="22" spans="1:26" ht="12" customHeight="1" x14ac:dyDescent="0.2">
      <c r="A22" s="526"/>
      <c r="B22" s="527"/>
      <c r="C22" s="527"/>
      <c r="D22" s="420"/>
      <c r="E22" s="421"/>
      <c r="F22" s="422"/>
      <c r="G22" s="206">
        <f>VLOOKUP(A22,A67:F122,5,FALSE)</f>
        <v>0</v>
      </c>
      <c r="H22" s="308">
        <f>IF(E22="",0,IF(A22="",0,IF(E22="Std-ore",ROUND(C$14+C$14*G22,5),IF(E22="Tage-gg.",ROUND(D$14+D$14*G22,5),IF(E22="Monat-mese",ROUND($I$14+$I$14*G22,2))))))</f>
        <v>0</v>
      </c>
      <c r="I22" s="152">
        <f>IF(A22="Abzug Bruttoberechnung Krankengeld INPS",ROUND(I19*G22,2),ROUND(H22*F22,2))</f>
        <v>0</v>
      </c>
      <c r="J22" s="306">
        <v>4</v>
      </c>
      <c r="K22" s="435"/>
      <c r="L22" s="436"/>
      <c r="M22" s="436"/>
      <c r="N22" s="436"/>
      <c r="O22" s="414"/>
      <c r="P22" s="6"/>
      <c r="V22" s="28"/>
      <c r="W22" s="6"/>
    </row>
    <row r="23" spans="1:26" ht="12" customHeight="1" x14ac:dyDescent="0.2">
      <c r="A23" s="526"/>
      <c r="B23" s="527"/>
      <c r="C23" s="527"/>
      <c r="D23" s="420"/>
      <c r="E23" s="421"/>
      <c r="F23" s="422"/>
      <c r="G23" s="206">
        <f t="shared" ref="G23:G28" si="2">VLOOKUP(A23,A67:F122,5,FALSE)</f>
        <v>0</v>
      </c>
      <c r="H23" s="308">
        <f>IF(E23="",0,IF(A23="",0,IF(E23="Std-ore",ROUND(C$14+C$14*G23,5),IF(E23="Tage-gg.",ROUND(D$14+D$14*G23,5),IF(E23="Monat-mese",ROUND($I$14+$I$14*G23,2))))))</f>
        <v>0</v>
      </c>
      <c r="I23" s="152">
        <f>IF(A23="Abzug Bruttoberechnung Krankengeld INPS",ROUND(I19*G23,2),ROUND(H23*F23,2))</f>
        <v>0</v>
      </c>
      <c r="J23" s="306">
        <v>5</v>
      </c>
      <c r="K23" s="435"/>
      <c r="L23" s="436"/>
      <c r="M23" s="436"/>
      <c r="N23" s="436"/>
      <c r="O23" s="414"/>
      <c r="P23" s="6"/>
      <c r="V23" s="28"/>
      <c r="W23" s="6"/>
    </row>
    <row r="24" spans="1:26" ht="12" customHeight="1" x14ac:dyDescent="0.2">
      <c r="A24" s="526"/>
      <c r="B24" s="527"/>
      <c r="C24" s="527"/>
      <c r="D24" s="420"/>
      <c r="E24" s="421"/>
      <c r="F24" s="422"/>
      <c r="G24" s="206">
        <f t="shared" si="2"/>
        <v>0</v>
      </c>
      <c r="H24" s="308">
        <f t="shared" si="0"/>
        <v>0</v>
      </c>
      <c r="I24" s="152">
        <f>IF(A24="Abzug Bruttoberechnung Krankengeld INPS",ROUND(I20*G24,2),ROUND(H24*F24,2))</f>
        <v>0</v>
      </c>
      <c r="J24" s="306">
        <v>6</v>
      </c>
      <c r="K24" s="435"/>
      <c r="L24" s="436"/>
      <c r="M24" s="436"/>
      <c r="N24" s="436"/>
      <c r="O24" s="414"/>
      <c r="P24" s="6"/>
      <c r="V24" s="28"/>
      <c r="W24" s="6"/>
    </row>
    <row r="25" spans="1:26" ht="12" customHeight="1" x14ac:dyDescent="0.2">
      <c r="A25" s="526"/>
      <c r="B25" s="527"/>
      <c r="C25" s="527"/>
      <c r="D25" s="420"/>
      <c r="E25" s="421"/>
      <c r="F25" s="422"/>
      <c r="G25" s="206">
        <f t="shared" si="2"/>
        <v>0</v>
      </c>
      <c r="H25" s="308">
        <f t="shared" si="0"/>
        <v>0</v>
      </c>
      <c r="I25" s="152">
        <f t="shared" si="1"/>
        <v>0</v>
      </c>
      <c r="J25" s="306">
        <v>7</v>
      </c>
      <c r="K25" s="435"/>
      <c r="L25" s="436"/>
      <c r="M25" s="436"/>
      <c r="N25" s="436"/>
      <c r="O25" s="414"/>
      <c r="P25" s="6"/>
      <c r="W25" s="6"/>
    </row>
    <row r="26" spans="1:26" ht="12" customHeight="1" x14ac:dyDescent="0.2">
      <c r="A26" s="526"/>
      <c r="B26" s="527"/>
      <c r="C26" s="527"/>
      <c r="D26" s="420"/>
      <c r="E26" s="421"/>
      <c r="F26" s="422"/>
      <c r="G26" s="206">
        <f t="shared" si="2"/>
        <v>0</v>
      </c>
      <c r="H26" s="308">
        <f t="shared" si="0"/>
        <v>0</v>
      </c>
      <c r="I26" s="152">
        <f t="shared" si="1"/>
        <v>0</v>
      </c>
      <c r="J26" s="306">
        <v>8</v>
      </c>
      <c r="K26" s="435"/>
      <c r="L26" s="436"/>
      <c r="M26" s="436"/>
      <c r="N26" s="436"/>
      <c r="O26" s="414"/>
      <c r="P26" s="6"/>
      <c r="W26" s="6"/>
    </row>
    <row r="27" spans="1:26" ht="12" customHeight="1" x14ac:dyDescent="0.2">
      <c r="A27" s="526"/>
      <c r="B27" s="527"/>
      <c r="C27" s="527"/>
      <c r="D27" s="420"/>
      <c r="E27" s="421"/>
      <c r="F27" s="422"/>
      <c r="G27" s="206">
        <f t="shared" si="2"/>
        <v>0</v>
      </c>
      <c r="H27" s="308">
        <f t="shared" si="0"/>
        <v>0</v>
      </c>
      <c r="I27" s="152">
        <f t="shared" si="1"/>
        <v>0</v>
      </c>
      <c r="J27" s="306">
        <v>9</v>
      </c>
      <c r="K27" s="435"/>
      <c r="L27" s="436"/>
      <c r="M27" s="436"/>
      <c r="N27" s="436"/>
      <c r="O27" s="414"/>
      <c r="P27" s="6"/>
    </row>
    <row r="28" spans="1:26" ht="12" customHeight="1" x14ac:dyDescent="0.2">
      <c r="A28" s="526"/>
      <c r="B28" s="527"/>
      <c r="C28" s="527"/>
      <c r="D28" s="420"/>
      <c r="E28" s="421"/>
      <c r="F28" s="422"/>
      <c r="G28" s="206">
        <f t="shared" si="2"/>
        <v>0</v>
      </c>
      <c r="H28" s="308">
        <f t="shared" si="0"/>
        <v>0</v>
      </c>
      <c r="I28" s="152">
        <f t="shared" si="1"/>
        <v>0</v>
      </c>
      <c r="J28" s="306">
        <v>10</v>
      </c>
      <c r="K28" s="435"/>
      <c r="L28" s="436"/>
      <c r="M28" s="436"/>
      <c r="N28" s="436"/>
      <c r="O28" s="414"/>
      <c r="P28" s="6"/>
    </row>
    <row r="29" spans="1:26" ht="12" customHeight="1" x14ac:dyDescent="0.2">
      <c r="A29" s="119" t="s">
        <v>109</v>
      </c>
      <c r="B29" s="57"/>
      <c r="C29" s="57"/>
      <c r="D29" s="57"/>
      <c r="E29" s="57"/>
      <c r="F29" s="58"/>
      <c r="G29" s="57"/>
      <c r="H29" s="57"/>
      <c r="I29" s="154">
        <f>SUM(I19:I28)</f>
        <v>0</v>
      </c>
      <c r="J29" s="306">
        <v>11</v>
      </c>
      <c r="K29" s="435"/>
      <c r="L29" s="436"/>
      <c r="M29" s="436"/>
      <c r="N29" s="437"/>
      <c r="O29" s="416"/>
      <c r="P29" s="9"/>
    </row>
    <row r="30" spans="1:26" ht="12" customHeight="1" x14ac:dyDescent="0.2">
      <c r="A30" s="211" t="s">
        <v>236</v>
      </c>
      <c r="B30" s="55"/>
      <c r="C30" s="59"/>
      <c r="D30" s="59"/>
      <c r="E30" s="59"/>
      <c r="F30" s="102" t="s">
        <v>55</v>
      </c>
      <c r="G30" s="73">
        <f>ROUND(I29,0)</f>
        <v>0</v>
      </c>
      <c r="H30" s="164">
        <f>'[1]Mit-1'!$C$21</f>
        <v>9.1899999999999996E-2</v>
      </c>
      <c r="I30" s="151">
        <f>-ROUND(G30*H30,2)</f>
        <v>0</v>
      </c>
      <c r="J30" s="306">
        <v>12</v>
      </c>
      <c r="K30" s="435"/>
      <c r="L30" s="436"/>
      <c r="M30" s="436"/>
      <c r="N30" s="436"/>
      <c r="O30" s="414"/>
      <c r="P30" s="1"/>
      <c r="Z30" s="1"/>
    </row>
    <row r="31" spans="1:26" ht="12" customHeight="1" x14ac:dyDescent="0.2">
      <c r="A31" s="104" t="s">
        <v>237</v>
      </c>
      <c r="B31" s="61"/>
      <c r="C31" s="62"/>
      <c r="D31" s="62"/>
      <c r="E31" s="62"/>
      <c r="F31" s="103" t="s">
        <v>55</v>
      </c>
      <c r="G31" s="60">
        <f>ROUND(I29,2)</f>
        <v>0</v>
      </c>
      <c r="H31" s="165">
        <f>VLOOKUP($P$3,'[1]Mit-1'!$A$5:$U$19,19,FALSE)</f>
        <v>1.23E-2</v>
      </c>
      <c r="I31" s="152">
        <f>-ROUND(G31*H31,2)</f>
        <v>0</v>
      </c>
      <c r="J31" s="306">
        <v>13</v>
      </c>
      <c r="K31" s="435"/>
      <c r="L31" s="436"/>
      <c r="M31" s="436"/>
      <c r="N31" s="436"/>
      <c r="O31" s="414"/>
      <c r="P31" s="1"/>
      <c r="Z31" s="1"/>
    </row>
    <row r="32" spans="1:26" ht="12" customHeight="1" x14ac:dyDescent="0.2">
      <c r="A32" s="104" t="s">
        <v>234</v>
      </c>
      <c r="B32" s="61"/>
      <c r="C32" s="62"/>
      <c r="D32" s="62"/>
      <c r="E32" s="62"/>
      <c r="F32" s="103" t="s">
        <v>55</v>
      </c>
      <c r="G32" s="327">
        <f>IF(I29=0,0,IF(R9&gt;0,SUM(A12:B12)/T9*R9,SUM(A12:B12)))</f>
        <v>0</v>
      </c>
      <c r="H32" s="165">
        <f>'[1]Mit-1'!$I$21</f>
        <v>1E-3</v>
      </c>
      <c r="I32" s="152">
        <f>-ROUND(G32*H32,2)</f>
        <v>0</v>
      </c>
      <c r="J32" s="306">
        <v>14</v>
      </c>
      <c r="K32" s="435"/>
      <c r="L32" s="436"/>
      <c r="M32" s="436"/>
      <c r="N32" s="436"/>
      <c r="O32" s="414"/>
      <c r="P32" s="1"/>
      <c r="Z32" s="1"/>
    </row>
    <row r="33" spans="1:26" ht="12" customHeight="1" x14ac:dyDescent="0.2">
      <c r="A33" s="104" t="s">
        <v>235</v>
      </c>
      <c r="B33" s="61"/>
      <c r="C33" s="62"/>
      <c r="D33" s="62"/>
      <c r="E33" s="62"/>
      <c r="F33" s="103" t="s">
        <v>55</v>
      </c>
      <c r="G33" s="60">
        <f>G30</f>
        <v>0</v>
      </c>
      <c r="H33" s="165">
        <f>'[1]Mit-1'!$I$23</f>
        <v>4.0000000000000001E-3</v>
      </c>
      <c r="I33" s="152">
        <f>-ROUND(G33*H33,2)</f>
        <v>0</v>
      </c>
      <c r="J33" s="306">
        <v>15</v>
      </c>
      <c r="K33" s="435"/>
      <c r="L33" s="436"/>
      <c r="M33" s="436"/>
      <c r="N33" s="436"/>
      <c r="O33" s="414"/>
      <c r="P33" s="1"/>
      <c r="Z33" s="1"/>
    </row>
    <row r="34" spans="1:26" ht="12" customHeight="1" x14ac:dyDescent="0.2">
      <c r="A34" s="104" t="s">
        <v>258</v>
      </c>
      <c r="B34" s="61"/>
      <c r="C34" s="62"/>
      <c r="D34" s="62"/>
      <c r="E34" s="62"/>
      <c r="F34" s="394"/>
      <c r="G34" s="52"/>
      <c r="H34" s="395"/>
      <c r="I34" s="152">
        <f>-IF(I29=0,0,'[1]Mit-1'!$I$25)</f>
        <v>0</v>
      </c>
      <c r="J34" s="306">
        <v>16</v>
      </c>
      <c r="K34" s="435"/>
      <c r="L34" s="436"/>
      <c r="M34" s="436"/>
      <c r="N34" s="436"/>
      <c r="O34" s="414"/>
      <c r="P34" s="1"/>
      <c r="Z34" s="1"/>
    </row>
    <row r="35" spans="1:26" ht="12" customHeight="1" x14ac:dyDescent="0.2">
      <c r="A35" s="104" t="s">
        <v>110</v>
      </c>
      <c r="B35" s="10"/>
      <c r="C35" s="10"/>
      <c r="D35" s="10"/>
      <c r="E35" s="10"/>
      <c r="F35" s="10"/>
      <c r="G35" s="11"/>
      <c r="H35" s="63"/>
      <c r="I35" s="152">
        <f ca="1">-SUMIF($A$19:$C$28,"Krankheit INPS-Anteil*",$I$19:$I$28)</f>
        <v>0</v>
      </c>
      <c r="J35" s="306">
        <v>17</v>
      </c>
      <c r="K35" s="435"/>
      <c r="L35" s="436"/>
      <c r="M35" s="436"/>
      <c r="N35" s="436"/>
      <c r="O35" s="414"/>
      <c r="P35" s="6"/>
      <c r="Y35" s="6"/>
      <c r="Z35" s="6"/>
    </row>
    <row r="36" spans="1:26" ht="12" customHeight="1" x14ac:dyDescent="0.2">
      <c r="A36" s="104" t="s">
        <v>111</v>
      </c>
      <c r="B36" s="10"/>
      <c r="C36" s="10"/>
      <c r="D36" s="10"/>
      <c r="E36" s="10"/>
      <c r="F36" s="10"/>
      <c r="G36" s="11"/>
      <c r="H36" s="63"/>
      <c r="I36" s="152">
        <f ca="1">-SUMIF($A$19:$C$28,"Mutterschaft INPS-Anteil*",$I$19:$I$28)</f>
        <v>0</v>
      </c>
      <c r="J36" s="306">
        <v>18</v>
      </c>
      <c r="K36" s="435"/>
      <c r="L36" s="436"/>
      <c r="M36" s="436"/>
      <c r="N36" s="436"/>
      <c r="O36" s="414"/>
      <c r="P36" s="6"/>
      <c r="Y36" s="6"/>
      <c r="Z36" s="6"/>
    </row>
    <row r="37" spans="1:26" ht="12" customHeight="1" x14ac:dyDescent="0.2">
      <c r="A37" s="105" t="s">
        <v>112</v>
      </c>
      <c r="B37" s="10"/>
      <c r="C37" s="10"/>
      <c r="D37" s="10"/>
      <c r="E37" s="10"/>
      <c r="F37" s="10"/>
      <c r="G37" s="11"/>
      <c r="H37" s="27">
        <f>ROUND(IF(I29=0,0,VLOOKUP($P$3,'[1]Mit-1'!$A$5:$U$19,12,FALSE))/12,2)</f>
        <v>0</v>
      </c>
      <c r="I37" s="439"/>
      <c r="J37" s="306">
        <v>19</v>
      </c>
      <c r="K37" s="435"/>
      <c r="L37" s="436"/>
      <c r="M37" s="436"/>
      <c r="N37" s="436"/>
      <c r="O37" s="414"/>
      <c r="P37" s="6"/>
      <c r="Y37" s="6"/>
      <c r="Z37" s="6"/>
    </row>
    <row r="38" spans="1:26" ht="12" customHeight="1" x14ac:dyDescent="0.2">
      <c r="A38" s="107" t="s">
        <v>113</v>
      </c>
      <c r="B38" s="10"/>
      <c r="C38" s="10"/>
      <c r="D38" s="10"/>
      <c r="E38" s="10"/>
      <c r="F38" s="10"/>
      <c r="G38" s="11"/>
      <c r="H38" s="237">
        <f ca="1">IF(SUM(I29:I37)-H37&lt;0,0,SUM(I29:I37)-H37)</f>
        <v>0</v>
      </c>
      <c r="I38" s="160"/>
      <c r="J38" s="306">
        <v>20</v>
      </c>
      <c r="K38" s="435"/>
      <c r="L38" s="436"/>
      <c r="M38" s="436"/>
      <c r="N38" s="436"/>
      <c r="O38" s="414"/>
      <c r="P38" s="6"/>
      <c r="Y38" s="6"/>
      <c r="Z38" s="6"/>
    </row>
    <row r="39" spans="1:26" ht="12" customHeight="1" x14ac:dyDescent="0.2">
      <c r="A39" s="211" t="s">
        <v>143</v>
      </c>
      <c r="B39" s="14"/>
      <c r="C39" s="14"/>
      <c r="D39" s="14"/>
      <c r="E39" s="14"/>
      <c r="F39" s="14"/>
      <c r="G39" s="14"/>
      <c r="H39" s="239">
        <f ca="1">-U50</f>
        <v>0</v>
      </c>
      <c r="I39" s="159"/>
      <c r="J39" s="306">
        <v>21</v>
      </c>
      <c r="K39" s="435"/>
      <c r="L39" s="436"/>
      <c r="M39" s="436"/>
      <c r="N39" s="436"/>
      <c r="O39" s="414"/>
      <c r="P39" s="6"/>
      <c r="R39" s="216"/>
      <c r="V39" s="6"/>
      <c r="W39" s="6"/>
      <c r="X39" s="6"/>
      <c r="Y39" s="6"/>
      <c r="Z39" s="6"/>
    </row>
    <row r="40" spans="1:26" ht="12" customHeight="1" x14ac:dyDescent="0.2">
      <c r="A40" s="104" t="s">
        <v>144</v>
      </c>
      <c r="B40" s="10"/>
      <c r="C40" s="10"/>
      <c r="D40" s="10"/>
      <c r="E40" s="10"/>
      <c r="F40" s="10"/>
      <c r="G40" s="10"/>
      <c r="H40" s="222">
        <f>ROUND(IF(I29=0,0,VLOOKUP($P$3,'[1]Mit-1'!$A$5:$AB$19,13,FALSE)/[1]Firma!$B$24*IF(R9=0,T9,R9)),2)</f>
        <v>0</v>
      </c>
      <c r="I40" s="156"/>
      <c r="J40" s="306">
        <v>22</v>
      </c>
      <c r="K40" s="435"/>
      <c r="L40" s="436"/>
      <c r="M40" s="436"/>
      <c r="N40" s="436"/>
      <c r="O40" s="414"/>
      <c r="P40" s="6"/>
      <c r="Q40" s="220"/>
      <c r="R40" s="216"/>
      <c r="S40" s="217"/>
      <c r="T40" s="218"/>
      <c r="U40" s="219"/>
      <c r="V40" s="6"/>
      <c r="W40" s="6"/>
      <c r="X40" s="6"/>
      <c r="Y40" s="6"/>
      <c r="Z40" s="6"/>
    </row>
    <row r="41" spans="1:26" ht="12" customHeight="1" x14ac:dyDescent="0.2">
      <c r="A41" s="110" t="s">
        <v>145</v>
      </c>
      <c r="B41" s="221"/>
      <c r="C41" s="221"/>
      <c r="D41" s="221"/>
      <c r="E41" s="221"/>
      <c r="F41" s="221"/>
      <c r="G41" s="221"/>
      <c r="H41" s="223"/>
      <c r="I41" s="286"/>
      <c r="J41" s="306">
        <v>23</v>
      </c>
      <c r="K41" s="435"/>
      <c r="L41" s="436"/>
      <c r="M41" s="436"/>
      <c r="N41" s="436"/>
      <c r="O41" s="414"/>
      <c r="P41" s="6"/>
      <c r="Q41" s="492" t="s">
        <v>4</v>
      </c>
      <c r="R41" s="493"/>
      <c r="S41" s="494" t="s">
        <v>7</v>
      </c>
      <c r="T41" s="498" t="s">
        <v>5</v>
      </c>
      <c r="U41" s="490" t="s">
        <v>2</v>
      </c>
      <c r="V41" s="6"/>
      <c r="W41" s="6"/>
      <c r="X41" s="6"/>
      <c r="Y41" s="6"/>
      <c r="Z41" s="6"/>
    </row>
    <row r="42" spans="1:26" ht="12" customHeight="1" x14ac:dyDescent="0.2">
      <c r="A42" s="108" t="s">
        <v>146</v>
      </c>
      <c r="B42" s="64"/>
      <c r="C42" s="64"/>
      <c r="D42" s="64"/>
      <c r="E42" s="64"/>
      <c r="F42" s="64"/>
      <c r="G42" s="64"/>
      <c r="H42" s="65"/>
      <c r="I42" s="157">
        <f ca="1">SUM(H39:H41)</f>
        <v>0</v>
      </c>
      <c r="J42" s="306">
        <v>24</v>
      </c>
      <c r="K42" s="435"/>
      <c r="L42" s="436"/>
      <c r="M42" s="436"/>
      <c r="N42" s="436"/>
      <c r="O42" s="414"/>
      <c r="P42" s="6"/>
      <c r="Q42" s="529"/>
      <c r="R42" s="530"/>
      <c r="S42" s="532"/>
      <c r="T42" s="531"/>
      <c r="U42" s="528"/>
      <c r="V42" s="6"/>
      <c r="W42" s="6"/>
      <c r="X42" s="6"/>
      <c r="Y42" s="6"/>
      <c r="Z42" s="6"/>
    </row>
    <row r="43" spans="1:26" ht="12" customHeight="1" x14ac:dyDescent="0.2">
      <c r="A43" s="106" t="s">
        <v>141</v>
      </c>
      <c r="B43" s="212"/>
      <c r="C43" s="10"/>
      <c r="D43" s="213"/>
      <c r="E43" s="574"/>
      <c r="F43" s="575"/>
      <c r="G43" s="214"/>
      <c r="H43" s="215" t="s">
        <v>33</v>
      </c>
      <c r="I43" s="151"/>
      <c r="J43" s="306">
        <v>25</v>
      </c>
      <c r="K43" s="435"/>
      <c r="L43" s="436"/>
      <c r="M43" s="436"/>
      <c r="N43" s="436"/>
      <c r="O43" s="414"/>
      <c r="P43" s="6"/>
      <c r="Q43" s="81" t="s">
        <v>0</v>
      </c>
      <c r="R43" s="82" t="s">
        <v>1</v>
      </c>
      <c r="S43" s="495"/>
      <c r="T43" s="499"/>
      <c r="U43" s="491"/>
      <c r="V43" s="6"/>
      <c r="W43" s="6"/>
      <c r="X43" s="6"/>
      <c r="Y43" s="6"/>
      <c r="Z43" s="6"/>
    </row>
    <row r="44" spans="1:26" ht="12" customHeight="1" x14ac:dyDescent="0.2">
      <c r="A44" s="104" t="s">
        <v>114</v>
      </c>
      <c r="B44" s="15"/>
      <c r="C44" s="8"/>
      <c r="D44" s="16"/>
      <c r="E44" s="582"/>
      <c r="F44" s="583"/>
      <c r="G44" s="17"/>
      <c r="H44" s="397"/>
      <c r="I44" s="158"/>
      <c r="J44" s="306">
        <v>26</v>
      </c>
      <c r="K44" s="435"/>
      <c r="L44" s="436"/>
      <c r="M44" s="436"/>
      <c r="N44" s="436"/>
      <c r="O44" s="414"/>
      <c r="P44" s="6"/>
      <c r="Q44" s="78">
        <f>[1]Tab!E8</f>
        <v>0</v>
      </c>
      <c r="R44" s="74">
        <f>[1]Tab!F8</f>
        <v>1250</v>
      </c>
      <c r="S44" s="75">
        <f>[1]Tab!G8</f>
        <v>0.23</v>
      </c>
      <c r="T44" s="76">
        <f>ROUND(R44*S44,2)</f>
        <v>287.5</v>
      </c>
      <c r="U44" s="76">
        <f ca="1">ROUND(IF(AND($H$38&lt;=R44,$H$38&gt;0),$H$38*S44,0),2)</f>
        <v>0</v>
      </c>
      <c r="V44" s="6"/>
      <c r="W44" s="6"/>
      <c r="X44" s="6"/>
      <c r="Y44" s="6"/>
      <c r="Z44" s="6"/>
    </row>
    <row r="45" spans="1:26" s="1" customFormat="1" ht="12" customHeight="1" x14ac:dyDescent="0.2">
      <c r="A45" s="110" t="s">
        <v>115</v>
      </c>
      <c r="B45" s="18"/>
      <c r="C45" s="111"/>
      <c r="D45" s="19"/>
      <c r="E45" s="582"/>
      <c r="F45" s="583"/>
      <c r="G45" s="20"/>
      <c r="H45" s="24"/>
      <c r="I45" s="155"/>
      <c r="J45" s="306">
        <v>27</v>
      </c>
      <c r="K45" s="435"/>
      <c r="L45" s="436"/>
      <c r="M45" s="436"/>
      <c r="N45" s="436"/>
      <c r="O45" s="414"/>
      <c r="P45" s="6"/>
      <c r="Q45" s="78">
        <f>[1]Tab!E9</f>
        <v>1250.01</v>
      </c>
      <c r="R45" s="74">
        <f>[1]Tab!F9</f>
        <v>2333.33</v>
      </c>
      <c r="S45" s="75">
        <f>[1]Tab!G9</f>
        <v>0.23</v>
      </c>
      <c r="T45" s="76">
        <f>ROUND((R45-Q45)*S45+T44,2)</f>
        <v>536.66</v>
      </c>
      <c r="U45" s="76">
        <f ca="1">ROUND(IF(AND($H$38&lt;=R45,$H$38&gt;=Q45),T44+($H$38-R44)*S45,0),2)</f>
        <v>0</v>
      </c>
      <c r="V45" s="6"/>
      <c r="W45" s="6"/>
      <c r="X45" s="6"/>
      <c r="Y45" s="6"/>
      <c r="Z45" s="6"/>
    </row>
    <row r="46" spans="1:26" ht="12" customHeight="1" x14ac:dyDescent="0.2">
      <c r="A46" s="101" t="s">
        <v>142</v>
      </c>
      <c r="B46" s="13"/>
      <c r="C46" s="14"/>
      <c r="D46" s="12"/>
      <c r="E46" s="580"/>
      <c r="F46" s="581"/>
      <c r="G46" s="112"/>
      <c r="H46" s="113" t="s">
        <v>33</v>
      </c>
      <c r="I46" s="151"/>
      <c r="J46" s="306">
        <v>28</v>
      </c>
      <c r="K46" s="435"/>
      <c r="L46" s="436"/>
      <c r="M46" s="436"/>
      <c r="N46" s="436"/>
      <c r="O46" s="414"/>
      <c r="P46" s="6"/>
      <c r="Q46" s="78">
        <f>[1]Tab!E10</f>
        <v>2333.34</v>
      </c>
      <c r="R46" s="74">
        <f>[1]Tab!F10</f>
        <v>4166.67</v>
      </c>
      <c r="S46" s="75">
        <f>[1]Tab!G10</f>
        <v>0.35</v>
      </c>
      <c r="T46" s="76">
        <f>ROUND((R46-Q46)*S46+T45,2)</f>
        <v>1178.33</v>
      </c>
      <c r="U46" s="76">
        <f ca="1">ROUND(IF(AND($H$38&lt;=R46,$H$38&gt;=Q46),T45+($H$38-R45)*S46,0),2)</f>
        <v>0</v>
      </c>
      <c r="V46" s="6"/>
      <c r="W46" s="6"/>
      <c r="X46" s="6"/>
      <c r="Y46" s="6"/>
      <c r="Z46" s="6"/>
    </row>
    <row r="47" spans="1:26" ht="12" customHeight="1" x14ac:dyDescent="0.2">
      <c r="A47" s="104" t="s">
        <v>114</v>
      </c>
      <c r="B47" s="15"/>
      <c r="C47" s="8"/>
      <c r="D47" s="16"/>
      <c r="E47" s="582"/>
      <c r="F47" s="583"/>
      <c r="G47" s="17"/>
      <c r="H47" s="397"/>
      <c r="I47" s="152"/>
      <c r="J47" s="306">
        <v>29</v>
      </c>
      <c r="K47" s="435"/>
      <c r="L47" s="436"/>
      <c r="M47" s="436"/>
      <c r="N47" s="436"/>
      <c r="O47" s="414"/>
      <c r="P47" s="1"/>
      <c r="Q47" s="78">
        <f>[1]Tab!E11</f>
        <v>4166.68</v>
      </c>
      <c r="R47" s="74">
        <f>[1]Tab!F11</f>
        <v>0</v>
      </c>
      <c r="S47" s="75">
        <f>[1]Tab!G11</f>
        <v>0.43</v>
      </c>
      <c r="T47" s="76"/>
      <c r="U47" s="76">
        <f ca="1">ROUND(IF(AND($H$38&lt;=R47,$H$38&gt;=Q47),T46+($H$38-R46)*S47,0),2)</f>
        <v>0</v>
      </c>
      <c r="V47" s="1"/>
      <c r="W47" s="1"/>
      <c r="X47" s="1"/>
      <c r="Y47" s="1"/>
      <c r="Z47" s="1"/>
    </row>
    <row r="48" spans="1:26" ht="12" customHeight="1" x14ac:dyDescent="0.2">
      <c r="A48" s="224" t="s">
        <v>115</v>
      </c>
      <c r="B48" s="225"/>
      <c r="C48" s="226"/>
      <c r="D48" s="227"/>
      <c r="E48" s="590"/>
      <c r="F48" s="591"/>
      <c r="G48" s="228"/>
      <c r="H48" s="229"/>
      <c r="I48" s="155"/>
      <c r="J48" s="306">
        <v>30</v>
      </c>
      <c r="K48" s="435"/>
      <c r="L48" s="436"/>
      <c r="M48" s="436"/>
      <c r="N48" s="436"/>
      <c r="O48" s="414"/>
      <c r="P48" s="1"/>
      <c r="Q48" s="78">
        <f>[1]Tab!E12</f>
        <v>0</v>
      </c>
      <c r="R48" s="74"/>
      <c r="S48" s="75">
        <f>[1]Tab!G12</f>
        <v>0</v>
      </c>
      <c r="T48" s="77"/>
      <c r="U48" s="76">
        <f ca="1">ROUND(IF($H$38&gt;R47,T47+($H$38-R47)*S48,0),2)</f>
        <v>0</v>
      </c>
      <c r="V48" s="1"/>
      <c r="W48" s="1"/>
      <c r="X48" s="1"/>
      <c r="Y48" s="1"/>
      <c r="Z48" s="1"/>
    </row>
    <row r="49" spans="1:26" ht="12" customHeight="1" x14ac:dyDescent="0.2">
      <c r="A49" s="110" t="s">
        <v>147</v>
      </c>
      <c r="B49" s="231"/>
      <c r="C49" s="232">
        <f>H48</f>
        <v>0</v>
      </c>
      <c r="D49" s="233">
        <f>ROUND(C49*B49,2)</f>
        <v>0</v>
      </c>
      <c r="E49" s="598"/>
      <c r="F49" s="599"/>
      <c r="G49" s="234"/>
      <c r="H49" s="235"/>
      <c r="I49" s="153"/>
      <c r="J49" s="310">
        <v>31</v>
      </c>
      <c r="K49" s="435"/>
      <c r="L49" s="436"/>
      <c r="M49" s="436"/>
      <c r="N49" s="436"/>
      <c r="O49" s="414"/>
      <c r="P49" s="1"/>
      <c r="Q49" s="78">
        <f>[1]Tab!E13</f>
        <v>0</v>
      </c>
      <c r="R49" s="74"/>
      <c r="S49" s="75">
        <f>[1]Tab!G13</f>
        <v>0</v>
      </c>
      <c r="T49" s="77"/>
      <c r="U49" s="76">
        <f ca="1">ROUND(IF($H$38&gt;R48,T48+($H$38-R48)*S49,0),2)</f>
        <v>0</v>
      </c>
      <c r="V49" s="1"/>
      <c r="W49" s="1"/>
      <c r="X49" s="1"/>
      <c r="Y49" s="1"/>
      <c r="Z49" s="1"/>
    </row>
    <row r="50" spans="1:26" ht="12" customHeight="1" x14ac:dyDescent="0.2">
      <c r="A50" s="109" t="s">
        <v>116</v>
      </c>
      <c r="B50" s="21"/>
      <c r="C50" s="114" t="s">
        <v>34</v>
      </c>
      <c r="D50" s="114" t="s">
        <v>160</v>
      </c>
      <c r="E50" s="509" t="s">
        <v>161</v>
      </c>
      <c r="F50" s="510"/>
      <c r="G50" s="114" t="s">
        <v>162</v>
      </c>
      <c r="H50" s="230" t="s">
        <v>36</v>
      </c>
      <c r="I50" s="156"/>
      <c r="J50" s="311"/>
      <c r="K50" s="500">
        <f>SUM(K19:K49)</f>
        <v>0</v>
      </c>
      <c r="L50" s="496">
        <f>SUM(L19:L49)</f>
        <v>0</v>
      </c>
      <c r="M50" s="496">
        <f>SUM(M19:M49)</f>
        <v>0</v>
      </c>
      <c r="N50" s="496">
        <f>SUM(N19:N49)</f>
        <v>0</v>
      </c>
      <c r="O50" s="502">
        <f>SUM(O19:O49)</f>
        <v>0</v>
      </c>
      <c r="P50" s="6"/>
      <c r="Q50" s="208" t="s">
        <v>8</v>
      </c>
      <c r="R50" s="209"/>
      <c r="S50" s="79"/>
      <c r="T50" s="64"/>
      <c r="U50" s="80">
        <f ca="1">ROUND(SUM(U44:U47),2)</f>
        <v>0</v>
      </c>
      <c r="V50" s="6"/>
      <c r="W50" s="6"/>
      <c r="X50" s="6"/>
      <c r="Y50" s="6"/>
      <c r="Z50" s="6"/>
    </row>
    <row r="51" spans="1:26" ht="12" customHeight="1" x14ac:dyDescent="0.2">
      <c r="A51" s="104" t="s">
        <v>117</v>
      </c>
      <c r="B51" s="22"/>
      <c r="C51" s="60">
        <f>IF(I29=0,0,Steuern!J88)</f>
        <v>0</v>
      </c>
      <c r="D51" s="60">
        <f>IF(I29=0,0,Steuern!L88)</f>
        <v>0</v>
      </c>
      <c r="E51" s="511">
        <f>IF(I29=0,0,Steuern!N88)</f>
        <v>0</v>
      </c>
      <c r="F51" s="512"/>
      <c r="G51" s="60">
        <f>IF(I29=0,0,Steuern!P88)</f>
        <v>0</v>
      </c>
      <c r="H51" s="67">
        <f>IF(I29=0,0,Steuern!R88)</f>
        <v>0</v>
      </c>
      <c r="I51" s="156"/>
      <c r="J51" s="309"/>
      <c r="K51" s="501"/>
      <c r="L51" s="497"/>
      <c r="M51" s="497"/>
      <c r="N51" s="497"/>
      <c r="O51" s="503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</row>
    <row r="52" spans="1:26" ht="12" customHeight="1" x14ac:dyDescent="0.2">
      <c r="A52" s="110" t="s">
        <v>118</v>
      </c>
      <c r="B52" s="23"/>
      <c r="C52" s="50"/>
      <c r="D52" s="50"/>
      <c r="E52" s="520"/>
      <c r="F52" s="521"/>
      <c r="G52" s="50"/>
      <c r="H52" s="69"/>
      <c r="I52" s="153">
        <f>IF(H52="",0,H51-H52)</f>
        <v>0</v>
      </c>
      <c r="J52" s="504" t="s">
        <v>230</v>
      </c>
      <c r="K52" s="505"/>
      <c r="L52" s="505"/>
      <c r="M52" s="505"/>
      <c r="N52" s="505"/>
      <c r="O52" s="506"/>
      <c r="P52" s="6"/>
      <c r="Q52" s="6"/>
      <c r="R52" s="6"/>
      <c r="S52" s="6"/>
      <c r="T52" s="66"/>
      <c r="U52" s="6"/>
      <c r="V52" s="6"/>
      <c r="W52" s="6"/>
      <c r="X52" s="6"/>
      <c r="Y52" s="6"/>
      <c r="Z52" s="6"/>
    </row>
    <row r="53" spans="1:26" ht="12" customHeight="1" x14ac:dyDescent="0.2">
      <c r="A53" s="119" t="s">
        <v>119</v>
      </c>
      <c r="B53" s="26"/>
      <c r="C53" s="26"/>
      <c r="D53" s="26"/>
      <c r="E53" s="26"/>
      <c r="F53" s="26"/>
      <c r="G53" s="26"/>
      <c r="H53" s="26"/>
      <c r="I53" s="154">
        <f ca="1">SUM(I29:I52)</f>
        <v>0</v>
      </c>
      <c r="J53" s="307"/>
      <c r="O53" s="134"/>
      <c r="P53" s="3"/>
      <c r="Q53" s="492" t="s">
        <v>6</v>
      </c>
      <c r="R53" s="493"/>
      <c r="S53" s="494" t="s">
        <v>7</v>
      </c>
      <c r="T53" s="498" t="s">
        <v>5</v>
      </c>
      <c r="U53" s="490" t="s">
        <v>2</v>
      </c>
      <c r="V53" s="3"/>
      <c r="W53" s="3"/>
      <c r="X53" s="3"/>
      <c r="Y53" s="3"/>
      <c r="Z53" s="3"/>
    </row>
    <row r="54" spans="1:26" ht="12" customHeight="1" x14ac:dyDescent="0.2">
      <c r="A54" s="115" t="s">
        <v>120</v>
      </c>
      <c r="B54" s="95" t="s">
        <v>124</v>
      </c>
      <c r="C54" s="193">
        <f>IF($I$9="",0,VLOOKUP($P$3,'[1]Mit-1'!$A$5:$U$19,15,FALSE))</f>
        <v>0</v>
      </c>
      <c r="D54" s="95" t="s">
        <v>38</v>
      </c>
      <c r="E54" s="592">
        <f>ROUND(IF($I$9="",0,Steuern!$D$89/13.5),2)</f>
        <v>0</v>
      </c>
      <c r="F54" s="593"/>
      <c r="G54" s="95" t="s">
        <v>40</v>
      </c>
      <c r="H54" s="194"/>
      <c r="I54" s="398">
        <f>C54+E54-H54</f>
        <v>0</v>
      </c>
      <c r="J54" s="568"/>
      <c r="K54" s="476"/>
      <c r="L54" s="476"/>
      <c r="M54" s="476"/>
      <c r="N54" s="476"/>
      <c r="O54" s="477"/>
      <c r="Q54" s="81" t="s">
        <v>0</v>
      </c>
      <c r="R54" s="82" t="s">
        <v>1</v>
      </c>
      <c r="S54" s="495"/>
      <c r="T54" s="499"/>
      <c r="U54" s="491"/>
      <c r="V54" s="1"/>
      <c r="W54" s="1"/>
      <c r="X54" s="1"/>
    </row>
    <row r="55" spans="1:26" ht="15" customHeight="1" x14ac:dyDescent="0.2">
      <c r="A55" s="116" t="s">
        <v>121</v>
      </c>
      <c r="B55" s="117" t="s">
        <v>37</v>
      </c>
      <c r="C55" s="51"/>
      <c r="D55" s="117" t="s">
        <v>39</v>
      </c>
      <c r="E55" s="596"/>
      <c r="F55" s="597"/>
      <c r="G55" s="117" t="s">
        <v>35</v>
      </c>
      <c r="H55" s="25"/>
      <c r="I55" s="399">
        <f>-(E55-H55)</f>
        <v>0</v>
      </c>
      <c r="J55" s="402"/>
      <c r="K55" s="401"/>
      <c r="L55" s="401"/>
      <c r="M55" s="401"/>
      <c r="N55" s="572"/>
      <c r="O55" s="573"/>
      <c r="Q55" s="78">
        <f>[1]Tab!A8</f>
        <v>0</v>
      </c>
      <c r="R55" s="74">
        <f>[1]Tab!D8</f>
        <v>15000</v>
      </c>
      <c r="S55" s="75">
        <f>S44</f>
        <v>0.23</v>
      </c>
      <c r="T55" s="76">
        <f>ROUND(R55*S55,2)</f>
        <v>3450</v>
      </c>
      <c r="U55" s="76">
        <f>ROUND(IF(AND(($C$52-D$52-E$52)&lt;=R55,($C$52-D$52-E$52)&gt;0),($C$52-$D$52-E$52)*S55,0),2)</f>
        <v>0</v>
      </c>
      <c r="V55" s="1"/>
      <c r="W55" s="1"/>
      <c r="X55" s="1"/>
    </row>
    <row r="56" spans="1:26" ht="16.899999999999999" customHeight="1" x14ac:dyDescent="0.2">
      <c r="A56" s="453" t="s">
        <v>122</v>
      </c>
      <c r="B56" s="118" t="s">
        <v>125</v>
      </c>
      <c r="C56" s="462"/>
      <c r="D56" s="118" t="s">
        <v>262</v>
      </c>
      <c r="E56" s="594"/>
      <c r="F56" s="595"/>
      <c r="G56" s="455"/>
      <c r="H56" s="456"/>
      <c r="I56" s="153">
        <f>-E56</f>
        <v>0</v>
      </c>
      <c r="J56" s="402"/>
      <c r="K56" s="401"/>
      <c r="L56" s="401"/>
      <c r="M56" s="401"/>
      <c r="N56" s="572"/>
      <c r="O56" s="573"/>
      <c r="Q56" s="78">
        <f>[1]Tab!A9</f>
        <v>15000.01</v>
      </c>
      <c r="R56" s="74">
        <f>[1]Tab!D9</f>
        <v>28000</v>
      </c>
      <c r="S56" s="75">
        <f>S45</f>
        <v>0.23</v>
      </c>
      <c r="T56" s="76">
        <f>ROUND((R56-Q56)*S56+T55,2)</f>
        <v>6440</v>
      </c>
      <c r="U56" s="76">
        <f>ROUND(IF(AND($C$52&lt;=R56,$C$52&gt;=Q56),T55+($C$52-R55)*S56,0),2)</f>
        <v>0</v>
      </c>
    </row>
    <row r="57" spans="1:26" ht="12.75" customHeight="1" x14ac:dyDescent="0.2">
      <c r="A57" s="457"/>
      <c r="B57" s="449"/>
      <c r="C57" s="449"/>
      <c r="D57" s="450"/>
      <c r="E57" s="518"/>
      <c r="F57" s="518"/>
      <c r="G57" s="450"/>
      <c r="H57" s="451"/>
      <c r="I57" s="458"/>
      <c r="J57" s="569"/>
      <c r="K57" s="570"/>
      <c r="L57" s="570"/>
      <c r="M57" s="570"/>
      <c r="N57" s="570"/>
      <c r="O57" s="571"/>
      <c r="P57" s="3"/>
      <c r="Q57" s="78">
        <f>[1]Tab!A10</f>
        <v>28000.01</v>
      </c>
      <c r="R57" s="74">
        <f>[1]Tab!D10</f>
        <v>50000</v>
      </c>
      <c r="S57" s="75">
        <f>S46</f>
        <v>0.35</v>
      </c>
      <c r="T57" s="76">
        <f>ROUND((R57-Q57)*S57+T56,2)</f>
        <v>14140</v>
      </c>
      <c r="U57" s="76">
        <f>ROUND(IF(AND($C$52&lt;=R57,$C$52&gt;=Q57),T56+($C$52-R56)*S57,0),2)</f>
        <v>0</v>
      </c>
      <c r="V57" s="3"/>
      <c r="W57" s="3"/>
      <c r="X57" s="3"/>
      <c r="Y57" s="3"/>
      <c r="Z57" s="3"/>
    </row>
    <row r="58" spans="1:26" ht="12.75" customHeight="1" x14ac:dyDescent="0.2">
      <c r="A58" s="465"/>
      <c r="B58" s="466"/>
      <c r="C58" s="466"/>
      <c r="D58" s="467"/>
      <c r="E58" s="519"/>
      <c r="F58" s="519"/>
      <c r="G58" s="467"/>
      <c r="H58" s="468"/>
      <c r="I58" s="469"/>
      <c r="J58" s="402"/>
      <c r="K58" s="401"/>
      <c r="L58" s="401"/>
      <c r="M58" s="401"/>
      <c r="N58" s="572"/>
      <c r="O58" s="573"/>
      <c r="P58" s="3"/>
      <c r="Q58" s="78">
        <f>[1]Tab!A11</f>
        <v>50000.01</v>
      </c>
      <c r="R58" s="74">
        <f>[1]Tab!D11</f>
        <v>0</v>
      </c>
      <c r="S58" s="75">
        <f>S47</f>
        <v>0.43</v>
      </c>
      <c r="T58" s="76"/>
      <c r="U58" s="76">
        <f>ROUND(IF(AND($C$52&lt;=R58,$C$52&gt;=Q58),T57+($C$52-R57)*S58,0),2)</f>
        <v>0</v>
      </c>
      <c r="V58" s="3"/>
      <c r="W58" s="3"/>
      <c r="X58" s="3"/>
      <c r="Y58" s="3"/>
      <c r="Z58" s="3"/>
    </row>
    <row r="59" spans="1:26" ht="12" customHeight="1" x14ac:dyDescent="0.2">
      <c r="A59" s="106" t="s">
        <v>123</v>
      </c>
      <c r="B59" s="8"/>
      <c r="C59" s="49"/>
      <c r="D59" s="117" t="s">
        <v>41</v>
      </c>
      <c r="E59" s="576">
        <f>-'11'!H59</f>
        <v>0</v>
      </c>
      <c r="F59" s="577"/>
      <c r="G59" s="117" t="s">
        <v>42</v>
      </c>
      <c r="H59" s="145">
        <f>IF(I29=0,0,SUM(I60-Q61))</f>
        <v>0</v>
      </c>
      <c r="I59" s="399">
        <f>IF(I29=0,0,SUM(E59,H59))</f>
        <v>0</v>
      </c>
      <c r="J59" s="402"/>
      <c r="K59" s="401"/>
      <c r="L59" s="401"/>
      <c r="M59" s="401"/>
      <c r="N59" s="572"/>
      <c r="O59" s="573"/>
      <c r="P59" s="3"/>
      <c r="Q59" s="78">
        <f>[1]Tab!A12</f>
        <v>0</v>
      </c>
      <c r="R59" s="74"/>
      <c r="S59" s="75">
        <f>S48</f>
        <v>0</v>
      </c>
      <c r="T59" s="77"/>
      <c r="U59" s="76">
        <f>ROUND(IF($H$41&gt;R58,T58+($H$41-R58)*S59,0),2)</f>
        <v>0</v>
      </c>
      <c r="V59" s="3"/>
      <c r="W59" s="3"/>
      <c r="X59" s="3"/>
      <c r="Y59" s="3"/>
      <c r="Z59" s="3"/>
    </row>
    <row r="60" spans="1:26" ht="12" customHeight="1" x14ac:dyDescent="0.2">
      <c r="A60" s="319" t="s">
        <v>43</v>
      </c>
      <c r="B60" s="320"/>
      <c r="C60" s="320"/>
      <c r="D60" s="320"/>
      <c r="E60" s="320"/>
      <c r="F60" s="320"/>
      <c r="G60" s="320"/>
      <c r="H60" s="320"/>
      <c r="I60" s="400">
        <f>IF(I29=0,0,ROUNDUP(Q61,0))</f>
        <v>0</v>
      </c>
      <c r="J60" s="403"/>
      <c r="K60" s="404"/>
      <c r="L60" s="404"/>
      <c r="M60" s="404"/>
      <c r="N60" s="566"/>
      <c r="O60" s="567"/>
      <c r="P60" s="6"/>
      <c r="Q60" s="208" t="s">
        <v>8</v>
      </c>
      <c r="R60" s="209"/>
      <c r="S60" s="79"/>
      <c r="T60" s="64"/>
      <c r="U60" s="80">
        <f>ROUND(SUM(U55:U59),2)</f>
        <v>0</v>
      </c>
      <c r="V60" s="6"/>
      <c r="W60" s="6"/>
      <c r="X60" s="6"/>
      <c r="Y60" s="6"/>
      <c r="Z60" s="6"/>
    </row>
    <row r="61" spans="1:26" ht="15" customHeight="1" x14ac:dyDescent="0.2">
      <c r="A61" s="1"/>
      <c r="B61" s="1"/>
      <c r="C61" s="1"/>
      <c r="D61" s="1"/>
      <c r="E61" s="1"/>
      <c r="F61" s="1"/>
      <c r="G61" s="1"/>
      <c r="H61" s="1"/>
      <c r="I61" s="1"/>
      <c r="K61" s="1"/>
      <c r="L61" s="1"/>
      <c r="M61" s="1"/>
      <c r="Q61" s="210">
        <f ca="1">SUM(I53:I58,E59)</f>
        <v>0</v>
      </c>
    </row>
    <row r="63" spans="1:26" ht="15.75" customHeight="1" x14ac:dyDescent="0.2"/>
    <row r="64" spans="1:26" x14ac:dyDescent="0.2">
      <c r="A64" s="71" t="str">
        <f>'[1]Beschr-Descr.'!A1</f>
        <v xml:space="preserve">Beschreibung Lohnelemente  </v>
      </c>
    </row>
    <row r="65" spans="1:6" x14ac:dyDescent="0.2">
      <c r="A65" s="71" t="str">
        <f>'[1]Beschr-Descr.'!A2</f>
        <v>Descrizione elementi di retribuzione</v>
      </c>
      <c r="F65" s="71" t="s">
        <v>3</v>
      </c>
    </row>
    <row r="66" spans="1:6" x14ac:dyDescent="0.2">
      <c r="A66" s="84">
        <f>'[1]Beschr-Descr.'!A3</f>
        <v>0</v>
      </c>
      <c r="B66" s="84">
        <f>'[1]Beschr-Descr.'!B3</f>
        <v>0</v>
      </c>
      <c r="C66" s="84">
        <f>'[1]Beschr-Descr.'!C3</f>
        <v>0</v>
      </c>
      <c r="D66" s="84">
        <f>'[1]Beschr-Descr.'!D3</f>
        <v>0</v>
      </c>
      <c r="E66" s="84">
        <f>'[1]Beschr-Descr.'!E3</f>
        <v>0</v>
      </c>
    </row>
    <row r="67" spans="1:6" x14ac:dyDescent="0.2">
      <c r="A67" s="84" t="str">
        <f>'[1]Beschr-Descr.'!A4</f>
        <v>Normalentlohnung</v>
      </c>
      <c r="B67" s="84"/>
      <c r="C67" s="84">
        <f>'[1]Beschr-Descr.'!C4</f>
        <v>0</v>
      </c>
      <c r="D67" s="84">
        <f>'[1]Beschr-Descr.'!D4</f>
        <v>0</v>
      </c>
      <c r="E67" s="207">
        <f>'[1]Beschr-Descr.'!E4</f>
        <v>0</v>
      </c>
      <c r="F67" t="s">
        <v>44</v>
      </c>
    </row>
    <row r="68" spans="1:6" x14ac:dyDescent="0.2">
      <c r="A68" s="84" t="str">
        <f>'[1]Beschr-Descr.'!A5</f>
        <v>Genossener Urlaub</v>
      </c>
      <c r="B68" s="84"/>
      <c r="C68" s="84">
        <f>'[1]Beschr-Descr.'!C5</f>
        <v>0</v>
      </c>
      <c r="D68" s="84">
        <f>'[1]Beschr-Descr.'!D5</f>
        <v>0</v>
      </c>
      <c r="E68" s="207">
        <f>'[1]Beschr-Descr.'!E5</f>
        <v>0</v>
      </c>
      <c r="F68" t="s">
        <v>45</v>
      </c>
    </row>
    <row r="69" spans="1:6" x14ac:dyDescent="0.2">
      <c r="A69" s="84" t="str">
        <f>'[1]Beschr-Descr.'!A6</f>
        <v>Genossene Freistellungen</v>
      </c>
      <c r="B69" s="84"/>
      <c r="C69" s="84">
        <f>'[1]Beschr-Descr.'!C6</f>
        <v>0</v>
      </c>
      <c r="D69" s="84">
        <f>'[1]Beschr-Descr.'!D6</f>
        <v>0</v>
      </c>
      <c r="E69" s="207">
        <f>'[1]Beschr-Descr.'!E6</f>
        <v>0</v>
      </c>
      <c r="F69" t="s">
        <v>46</v>
      </c>
    </row>
    <row r="70" spans="1:6" x14ac:dyDescent="0.2">
      <c r="A70" s="84" t="str">
        <f>'[1]Beschr-Descr.'!A7</f>
        <v>Nicht genossener Urlaub</v>
      </c>
      <c r="B70" s="84"/>
      <c r="C70" s="84">
        <f>'[1]Beschr-Descr.'!C7</f>
        <v>0</v>
      </c>
      <c r="D70" s="84">
        <f>'[1]Beschr-Descr.'!D7</f>
        <v>0</v>
      </c>
      <c r="E70" s="207">
        <f>'[1]Beschr-Descr.'!E7</f>
        <v>0</v>
      </c>
    </row>
    <row r="71" spans="1:6" x14ac:dyDescent="0.2">
      <c r="A71" s="84" t="str">
        <f>'[1]Beschr-Descr.'!A8</f>
        <v>Nicht genossene Freistellungen</v>
      </c>
      <c r="B71" s="84"/>
      <c r="C71" s="84">
        <f>'[1]Beschr-Descr.'!C8</f>
        <v>0</v>
      </c>
      <c r="D71" s="84">
        <f>'[1]Beschr-Descr.'!D8</f>
        <v>0</v>
      </c>
      <c r="E71" s="207">
        <f>'[1]Beschr-Descr.'!E8</f>
        <v>0</v>
      </c>
    </row>
    <row r="72" spans="1:6" x14ac:dyDescent="0.2">
      <c r="A72" s="84" t="str">
        <f>'[1]Beschr-Descr.'!A9</f>
        <v>Nicht genossene Feiertage</v>
      </c>
      <c r="B72" s="84"/>
      <c r="C72" s="84">
        <f>'[1]Beschr-Descr.'!C9</f>
        <v>0</v>
      </c>
      <c r="D72" s="84">
        <f>'[1]Beschr-Descr.'!D9</f>
        <v>0</v>
      </c>
      <c r="E72" s="207">
        <f>'[1]Beschr-Descr.'!E9</f>
        <v>0</v>
      </c>
    </row>
    <row r="73" spans="1:6" x14ac:dyDescent="0.2">
      <c r="A73" s="84" t="str">
        <f>'[1]Beschr-Descr.'!A10</f>
        <v>Zulage für Kassarisiko</v>
      </c>
      <c r="B73" s="84"/>
      <c r="C73" s="84">
        <f>'[1]Beschr-Descr.'!C10</f>
        <v>0</v>
      </c>
      <c r="D73" s="84">
        <f>'[1]Beschr-Descr.'!D10</f>
        <v>0</v>
      </c>
      <c r="E73" s="207">
        <f>'[1]Beschr-Descr.'!E10</f>
        <v>0</v>
      </c>
    </row>
    <row r="74" spans="1:6" x14ac:dyDescent="0.2">
      <c r="A74" s="84">
        <f>'[1]Beschr-Descr.'!A11</f>
        <v>0</v>
      </c>
      <c r="B74" s="84"/>
      <c r="C74" s="84">
        <f>'[1]Beschr-Descr.'!C11</f>
        <v>0</v>
      </c>
      <c r="D74" s="84">
        <f>'[1]Beschr-Descr.'!D11</f>
        <v>0</v>
      </c>
      <c r="E74" s="207">
        <f>'[1]Beschr-Descr.'!E11</f>
        <v>0</v>
      </c>
    </row>
    <row r="75" spans="1:6" x14ac:dyDescent="0.2">
      <c r="A75" s="84" t="str">
        <f>'[1]Beschr-Descr.'!A12</f>
        <v xml:space="preserve">Überstunden 15%  </v>
      </c>
      <c r="B75" s="84"/>
      <c r="C75" s="84">
        <f>'[1]Beschr-Descr.'!C12</f>
        <v>0</v>
      </c>
      <c r="D75" s="84">
        <f>'[1]Beschr-Descr.'!D12</f>
        <v>0</v>
      </c>
      <c r="E75" s="207">
        <f>'[1]Beschr-Descr.'!E12</f>
        <v>0.15</v>
      </c>
    </row>
    <row r="76" spans="1:6" x14ac:dyDescent="0.2">
      <c r="A76" s="84" t="str">
        <f>'[1]Beschr-Descr.'!A13</f>
        <v xml:space="preserve">Überstunden 20%  </v>
      </c>
      <c r="B76" s="84"/>
      <c r="C76" s="84">
        <f>'[1]Beschr-Descr.'!C13</f>
        <v>0</v>
      </c>
      <c r="D76" s="84">
        <f>'[1]Beschr-Descr.'!D13</f>
        <v>0</v>
      </c>
      <c r="E76" s="207">
        <f>'[1]Beschr-Descr.'!E13</f>
        <v>0.2</v>
      </c>
    </row>
    <row r="77" spans="1:6" x14ac:dyDescent="0.2">
      <c r="A77" s="84" t="str">
        <f>'[1]Beschr-Descr.'!A14</f>
        <v xml:space="preserve">Überstunden 30%  </v>
      </c>
      <c r="B77" s="84"/>
      <c r="C77" s="84">
        <f>'[1]Beschr-Descr.'!C14</f>
        <v>0</v>
      </c>
      <c r="D77" s="84">
        <f>'[1]Beschr-Descr.'!D14</f>
        <v>0</v>
      </c>
      <c r="E77" s="207">
        <f>'[1]Beschr-Descr.'!E14</f>
        <v>0.3</v>
      </c>
    </row>
    <row r="78" spans="1:6" x14ac:dyDescent="0.2">
      <c r="A78" s="84" t="str">
        <f>'[1]Beschr-Descr.'!A15</f>
        <v xml:space="preserve">Überstunden 50%  </v>
      </c>
      <c r="B78" s="84"/>
      <c r="C78" s="84">
        <f>'[1]Beschr-Descr.'!C15</f>
        <v>0</v>
      </c>
      <c r="D78" s="84">
        <f>'[1]Beschr-Descr.'!D15</f>
        <v>0</v>
      </c>
      <c r="E78" s="207">
        <f>'[1]Beschr-Descr.'!E15</f>
        <v>0.5</v>
      </c>
    </row>
    <row r="79" spans="1:6" x14ac:dyDescent="0.2">
      <c r="A79" s="84" t="str">
        <f>'[1]Beschr-Descr.'!A16</f>
        <v>Nachtstunden 50%</v>
      </c>
      <c r="B79" s="84"/>
      <c r="C79" s="84">
        <f>'[1]Beschr-Descr.'!C16</f>
        <v>0</v>
      </c>
      <c r="D79" s="84">
        <f>'[1]Beschr-Descr.'!D16</f>
        <v>0</v>
      </c>
      <c r="E79" s="207">
        <f>'[1]Beschr-Descr.'!E16</f>
        <v>0.5</v>
      </c>
    </row>
    <row r="80" spans="1:6" x14ac:dyDescent="0.2">
      <c r="A80" s="84">
        <f>'[1]Beschr-Descr.'!A17</f>
        <v>0</v>
      </c>
      <c r="B80" s="84"/>
      <c r="C80" s="84">
        <f>'[1]Beschr-Descr.'!C17</f>
        <v>0</v>
      </c>
      <c r="D80" s="84">
        <f>'[1]Beschr-Descr.'!D17</f>
        <v>0</v>
      </c>
      <c r="E80" s="207">
        <f>'[1]Beschr-Descr.'!E17</f>
        <v>0</v>
      </c>
    </row>
    <row r="81" spans="1:5" x14ac:dyDescent="0.2">
      <c r="A81" s="84" t="str">
        <f>'[1]Beschr-Descr.'!A18</f>
        <v>Krankheit gesamt</v>
      </c>
      <c r="B81" s="84"/>
      <c r="C81" s="84">
        <f>'[1]Beschr-Descr.'!C18</f>
        <v>0</v>
      </c>
      <c r="D81" s="84">
        <f>'[1]Beschr-Descr.'!D18</f>
        <v>0</v>
      </c>
      <c r="E81" s="207">
        <f>'[1]Beschr-Descr.'!E18</f>
        <v>0</v>
      </c>
    </row>
    <row r="82" spans="1:5" x14ac:dyDescent="0.2">
      <c r="A82" s="84" t="str">
        <f>'[1]Beschr-Descr.'!A19</f>
        <v xml:space="preserve">Krankheit INPS-Anteil 50,00% </v>
      </c>
      <c r="B82" s="84"/>
      <c r="C82" s="84">
        <f>'[1]Beschr-Descr.'!C19</f>
        <v>0</v>
      </c>
      <c r="D82" s="84">
        <f>'[1]Beschr-Descr.'!D19</f>
        <v>0</v>
      </c>
      <c r="E82" s="207">
        <f>'[1]Beschr-Descr.'!E19</f>
        <v>-0.5</v>
      </c>
    </row>
    <row r="83" spans="1:5" x14ac:dyDescent="0.2">
      <c r="A83" s="84" t="str">
        <f>'[1]Beschr-Descr.'!A20</f>
        <v xml:space="preserve">Krankheit INPS-Anteil 66,67% </v>
      </c>
      <c r="B83" s="84"/>
      <c r="C83" s="84">
        <f>'[1]Beschr-Descr.'!C20</f>
        <v>0</v>
      </c>
      <c r="D83" s="84">
        <f>'[1]Beschr-Descr.'!D20</f>
        <v>0</v>
      </c>
      <c r="E83" s="207">
        <f>'[1]Beschr-Descr.'!E20</f>
        <v>-0.66669999999999996</v>
      </c>
    </row>
    <row r="84" spans="1:5" x14ac:dyDescent="0.2">
      <c r="A84" s="84" t="str">
        <f>'[1]Beschr-Descr.'!A21</f>
        <v>Mutterschaft Gesamtbetrag</v>
      </c>
      <c r="B84" s="84"/>
      <c r="C84" s="84">
        <f>'[1]Beschr-Descr.'!C21</f>
        <v>0</v>
      </c>
      <c r="D84" s="84">
        <f>'[1]Beschr-Descr.'!D21</f>
        <v>0</v>
      </c>
      <c r="E84" s="207">
        <f>'[1]Beschr-Descr.'!E21</f>
        <v>0</v>
      </c>
    </row>
    <row r="85" spans="1:5" x14ac:dyDescent="0.2">
      <c r="A85" s="84" t="str">
        <f>'[1]Beschr-Descr.'!A22</f>
        <v>Mutterschaft INPS-Anteil 80,00%</v>
      </c>
      <c r="B85" s="84"/>
      <c r="C85" s="84">
        <f>'[1]Beschr-Descr.'!C22</f>
        <v>0</v>
      </c>
      <c r="D85" s="84">
        <f>'[1]Beschr-Descr.'!D22</f>
        <v>0</v>
      </c>
      <c r="E85" s="207">
        <f>'[1]Beschr-Descr.'!E22</f>
        <v>-0.8</v>
      </c>
    </row>
    <row r="86" spans="1:5" x14ac:dyDescent="0.2">
      <c r="A86" s="84" t="str">
        <f>'[1]Beschr-Descr.'!A23</f>
        <v>Abzug Bruttoberechnung Krankengeld INPS</v>
      </c>
      <c r="B86" s="84"/>
      <c r="C86" s="84">
        <f>'[1]Beschr-Descr.'!C23</f>
        <v>0</v>
      </c>
      <c r="D86" s="84">
        <f>'[1]Beschr-Descr.'!D23</f>
        <v>0</v>
      </c>
      <c r="E86" s="207">
        <f>'[1]Beschr-Descr.'!E23</f>
        <v>0.10120030833608633</v>
      </c>
    </row>
    <row r="87" spans="1:5" x14ac:dyDescent="0.2">
      <c r="A87" s="84">
        <f>'[1]Beschr-Descr.'!A24</f>
        <v>0</v>
      </c>
      <c r="B87" s="84"/>
      <c r="C87" s="84">
        <f>'[1]Beschr-Descr.'!C24</f>
        <v>0</v>
      </c>
      <c r="D87" s="84">
        <f>'[1]Beschr-Descr.'!D24</f>
        <v>0</v>
      </c>
      <c r="E87" s="207">
        <f>'[1]Beschr-Descr.'!E24</f>
        <v>0</v>
      </c>
    </row>
    <row r="88" spans="1:5" x14ac:dyDescent="0.2">
      <c r="A88" s="84" t="str">
        <f>'[1]Beschr-Descr.'!A25</f>
        <v xml:space="preserve">13. Monatsgehalt  </v>
      </c>
      <c r="B88" s="84"/>
      <c r="C88" s="84">
        <f>'[1]Beschr-Descr.'!C25</f>
        <v>0</v>
      </c>
      <c r="D88" s="84">
        <f>'[1]Beschr-Descr.'!D25</f>
        <v>0</v>
      </c>
      <c r="E88" s="207">
        <f>'[1]Beschr-Descr.'!E25</f>
        <v>0</v>
      </c>
    </row>
    <row r="89" spans="1:5" x14ac:dyDescent="0.2">
      <c r="A89" s="84" t="str">
        <f>'[1]Beschr-Descr.'!A26</f>
        <v xml:space="preserve">14. Monatsgehalt  </v>
      </c>
      <c r="B89" s="84"/>
      <c r="C89" s="84">
        <f>'[1]Beschr-Descr.'!C26</f>
        <v>0</v>
      </c>
      <c r="D89" s="84">
        <f>'[1]Beschr-Descr.'!D26</f>
        <v>0</v>
      </c>
      <c r="E89" s="207">
        <f>'[1]Beschr-Descr.'!E26</f>
        <v>0</v>
      </c>
    </row>
    <row r="90" spans="1:5" x14ac:dyDescent="0.2">
      <c r="A90" s="84" t="str">
        <f>'[1]Beschr-Descr.'!A27</f>
        <v xml:space="preserve">Nichteinhaltung Kündigungsfrist  </v>
      </c>
      <c r="B90" s="84"/>
      <c r="C90" s="84">
        <f>'[1]Beschr-Descr.'!C27</f>
        <v>0</v>
      </c>
      <c r="D90" s="84">
        <f>'[1]Beschr-Descr.'!D27</f>
        <v>0</v>
      </c>
      <c r="E90" s="207">
        <f>'[1]Beschr-Descr.'!E27</f>
        <v>0</v>
      </c>
    </row>
    <row r="91" spans="1:5" x14ac:dyDescent="0.2">
      <c r="A91" s="84" t="str">
        <f>'[1]Beschr-Descr.'!A28</f>
        <v>Una Tantum</v>
      </c>
      <c r="B91" s="84"/>
      <c r="C91" s="84">
        <f>'[1]Beschr-Descr.'!C28</f>
        <v>0</v>
      </c>
      <c r="D91" s="84">
        <f>'[1]Beschr-Descr.'!D28</f>
        <v>0</v>
      </c>
      <c r="E91" s="207">
        <f>'[1]Beschr-Descr.'!E28</f>
        <v>0</v>
      </c>
    </row>
    <row r="92" spans="1:5" x14ac:dyDescent="0.2">
      <c r="A92" s="84" t="str">
        <f>'[1]Beschr-Descr.'!A29</f>
        <v>Prämie</v>
      </c>
      <c r="B92" s="84"/>
      <c r="C92" s="84">
        <f>'[1]Beschr-Descr.'!C29</f>
        <v>0</v>
      </c>
      <c r="D92" s="84">
        <f>'[1]Beschr-Descr.'!D29</f>
        <v>0</v>
      </c>
      <c r="E92" s="207">
        <f>'[1]Beschr-Descr.'!E29</f>
        <v>0</v>
      </c>
    </row>
    <row r="93" spans="1:5" x14ac:dyDescent="0.2">
      <c r="A93" s="84">
        <f>'[1]Beschr-Descr.'!A30</f>
        <v>0</v>
      </c>
      <c r="B93" s="84"/>
      <c r="C93" s="84">
        <f>'[1]Beschr-Descr.'!C30</f>
        <v>0</v>
      </c>
      <c r="D93" s="84">
        <f>'[1]Beschr-Descr.'!D30</f>
        <v>0</v>
      </c>
      <c r="E93" s="207">
        <f>'[1]Beschr-Descr.'!E30</f>
        <v>0</v>
      </c>
    </row>
    <row r="94" spans="1:5" x14ac:dyDescent="0.2">
      <c r="A94" s="84">
        <f>'[1]Beschr-Descr.'!A31</f>
        <v>0</v>
      </c>
      <c r="B94" s="84"/>
      <c r="C94" s="84">
        <f>'[1]Beschr-Descr.'!C31</f>
        <v>0</v>
      </c>
      <c r="D94" s="84">
        <f>'[1]Beschr-Descr.'!D31</f>
        <v>0</v>
      </c>
      <c r="E94" s="207">
        <f>'[1]Beschr-Descr.'!E31</f>
        <v>0</v>
      </c>
    </row>
    <row r="95" spans="1:5" x14ac:dyDescent="0.2">
      <c r="A95" s="84" t="str">
        <f>'[1]Beschr-Descr.'!A32</f>
        <v xml:space="preserve">Retribuzione ordinaria </v>
      </c>
      <c r="B95" s="84"/>
      <c r="C95" s="84">
        <f>'[1]Beschr-Descr.'!C32</f>
        <v>0</v>
      </c>
      <c r="D95" s="84">
        <f>'[1]Beschr-Descr.'!D32</f>
        <v>0</v>
      </c>
      <c r="E95" s="207">
        <f>'[1]Beschr-Descr.'!E32</f>
        <v>0</v>
      </c>
    </row>
    <row r="96" spans="1:5" x14ac:dyDescent="0.2">
      <c r="A96" s="84" t="str">
        <f>'[1]Beschr-Descr.'!A33</f>
        <v>Ferie godute</v>
      </c>
      <c r="B96" s="84"/>
      <c r="C96" s="84">
        <f>'[1]Beschr-Descr.'!C33</f>
        <v>0</v>
      </c>
      <c r="D96" s="84">
        <f>'[1]Beschr-Descr.'!D33</f>
        <v>0</v>
      </c>
      <c r="E96" s="207">
        <f>'[1]Beschr-Descr.'!E33</f>
        <v>0</v>
      </c>
    </row>
    <row r="97" spans="1:5" x14ac:dyDescent="0.2">
      <c r="A97" s="84" t="str">
        <f>'[1]Beschr-Descr.'!A34</f>
        <v>Permessi goduti</v>
      </c>
      <c r="B97" s="84"/>
      <c r="C97" s="84">
        <f>'[1]Beschr-Descr.'!C34</f>
        <v>0</v>
      </c>
      <c r="D97" s="84">
        <f>'[1]Beschr-Descr.'!D34</f>
        <v>0</v>
      </c>
      <c r="E97" s="207">
        <f>'[1]Beschr-Descr.'!E34</f>
        <v>0</v>
      </c>
    </row>
    <row r="98" spans="1:5" x14ac:dyDescent="0.2">
      <c r="A98" s="84" t="str">
        <f>'[1]Beschr-Descr.'!A35</f>
        <v>Ferie non godute</v>
      </c>
      <c r="B98" s="84"/>
      <c r="C98" s="84">
        <f>'[1]Beschr-Descr.'!C35</f>
        <v>0</v>
      </c>
      <c r="D98" s="84">
        <f>'[1]Beschr-Descr.'!D35</f>
        <v>0</v>
      </c>
      <c r="E98" s="207">
        <f>'[1]Beschr-Descr.'!E35</f>
        <v>0</v>
      </c>
    </row>
    <row r="99" spans="1:5" x14ac:dyDescent="0.2">
      <c r="A99" s="84" t="str">
        <f>'[1]Beschr-Descr.'!A36</f>
        <v>Ferie non godute</v>
      </c>
      <c r="B99" s="84"/>
      <c r="C99" s="84">
        <f>'[1]Beschr-Descr.'!C36</f>
        <v>0</v>
      </c>
      <c r="D99" s="84">
        <f>'[1]Beschr-Descr.'!D36</f>
        <v>0</v>
      </c>
      <c r="E99" s="207">
        <f>'[1]Beschr-Descr.'!E36</f>
        <v>0</v>
      </c>
    </row>
    <row r="100" spans="1:5" x14ac:dyDescent="0.2">
      <c r="A100" s="84" t="str">
        <f>'[1]Beschr-Descr.'!A37</f>
        <v>Festività non godute</v>
      </c>
      <c r="B100" s="84"/>
      <c r="C100" s="84">
        <f>'[1]Beschr-Descr.'!C37</f>
        <v>0</v>
      </c>
      <c r="D100" s="84">
        <f>'[1]Beschr-Descr.'!D37</f>
        <v>0</v>
      </c>
      <c r="E100" s="207">
        <f>'[1]Beschr-Descr.'!E37</f>
        <v>0</v>
      </c>
    </row>
    <row r="101" spans="1:5" x14ac:dyDescent="0.2">
      <c r="A101" s="84" t="str">
        <f>'[1]Beschr-Descr.'!A38</f>
        <v>Indennità rischio cassa</v>
      </c>
      <c r="B101" s="84"/>
      <c r="C101" s="84">
        <f>'[1]Beschr-Descr.'!C38</f>
        <v>0</v>
      </c>
      <c r="D101" s="84">
        <f>'[1]Beschr-Descr.'!D38</f>
        <v>0</v>
      </c>
      <c r="E101" s="207">
        <f>'[1]Beschr-Descr.'!E38</f>
        <v>0</v>
      </c>
    </row>
    <row r="102" spans="1:5" x14ac:dyDescent="0.2">
      <c r="A102" s="84">
        <f>'[1]Beschr-Descr.'!A39</f>
        <v>0</v>
      </c>
      <c r="B102" s="84"/>
      <c r="C102" s="84">
        <f>'[1]Beschr-Descr.'!C39</f>
        <v>0</v>
      </c>
      <c r="D102" s="84">
        <f>'[1]Beschr-Descr.'!D39</f>
        <v>0</v>
      </c>
      <c r="E102" s="207">
        <f>'[1]Beschr-Descr.'!E39</f>
        <v>0</v>
      </c>
    </row>
    <row r="103" spans="1:5" x14ac:dyDescent="0.2">
      <c r="A103" s="84" t="str">
        <f>'[1]Beschr-Descr.'!A40</f>
        <v>Ore straordinarie 15%</v>
      </c>
      <c r="B103" s="84"/>
      <c r="C103" s="84">
        <f>'[1]Beschr-Descr.'!C40</f>
        <v>0</v>
      </c>
      <c r="D103" s="84">
        <f>'[1]Beschr-Descr.'!D40</f>
        <v>0</v>
      </c>
      <c r="E103" s="207">
        <f>'[1]Beschr-Descr.'!E40</f>
        <v>0.15</v>
      </c>
    </row>
    <row r="104" spans="1:5" x14ac:dyDescent="0.2">
      <c r="A104" s="84" t="str">
        <f>'[1]Beschr-Descr.'!A41</f>
        <v>Ore straordinarie 20%</v>
      </c>
      <c r="B104" s="84"/>
      <c r="C104" s="84">
        <f>'[1]Beschr-Descr.'!C41</f>
        <v>0</v>
      </c>
      <c r="D104" s="84">
        <f>'[1]Beschr-Descr.'!D41</f>
        <v>0</v>
      </c>
      <c r="E104" s="207">
        <f>'[1]Beschr-Descr.'!E41</f>
        <v>0.2</v>
      </c>
    </row>
    <row r="105" spans="1:5" x14ac:dyDescent="0.2">
      <c r="A105" s="84" t="str">
        <f>'[1]Beschr-Descr.'!A42</f>
        <v>Ore straordinarie 30%</v>
      </c>
      <c r="B105" s="84"/>
      <c r="C105" s="84">
        <f>'[1]Beschr-Descr.'!C42</f>
        <v>0</v>
      </c>
      <c r="D105" s="84">
        <f>'[1]Beschr-Descr.'!D42</f>
        <v>0</v>
      </c>
      <c r="E105" s="207">
        <f>'[1]Beschr-Descr.'!E42</f>
        <v>0.3</v>
      </c>
    </row>
    <row r="106" spans="1:5" x14ac:dyDescent="0.2">
      <c r="A106" s="84" t="str">
        <f>'[1]Beschr-Descr.'!A43</f>
        <v>Ore straordinarie 50%</v>
      </c>
      <c r="B106" s="84"/>
      <c r="C106" s="84">
        <f>'[1]Beschr-Descr.'!C43</f>
        <v>0</v>
      </c>
      <c r="D106" s="84">
        <f>'[1]Beschr-Descr.'!D43</f>
        <v>0</v>
      </c>
      <c r="E106" s="207">
        <f>'[1]Beschr-Descr.'!E43</f>
        <v>0.5</v>
      </c>
    </row>
    <row r="107" spans="1:5" x14ac:dyDescent="0.2">
      <c r="A107" s="84" t="str">
        <f>'[1]Beschr-Descr.'!A44</f>
        <v>Ore notturne 50%</v>
      </c>
      <c r="B107" s="84"/>
      <c r="C107" s="84">
        <f>'[1]Beschr-Descr.'!C44</f>
        <v>0</v>
      </c>
      <c r="D107" s="84">
        <f>'[1]Beschr-Descr.'!D44</f>
        <v>0</v>
      </c>
      <c r="E107" s="207">
        <f>'[1]Beschr-Descr.'!E44</f>
        <v>0.5</v>
      </c>
    </row>
    <row r="108" spans="1:5" x14ac:dyDescent="0.2">
      <c r="A108" s="84">
        <f>'[1]Beschr-Descr.'!A45</f>
        <v>0</v>
      </c>
      <c r="B108" s="84"/>
      <c r="C108" s="84">
        <f>'[1]Beschr-Descr.'!C45</f>
        <v>0</v>
      </c>
      <c r="D108" s="84">
        <f>'[1]Beschr-Descr.'!D45</f>
        <v>0</v>
      </c>
      <c r="E108" s="207">
        <f>'[1]Beschr-Descr.'!E45</f>
        <v>0</v>
      </c>
    </row>
    <row r="109" spans="1:5" x14ac:dyDescent="0.2">
      <c r="A109" s="84" t="str">
        <f>'[1]Beschr-Descr.'!A46</f>
        <v>Indennità di malattia totale</v>
      </c>
      <c r="B109" s="84"/>
      <c r="C109" s="84">
        <f>'[1]Beschr-Descr.'!C46</f>
        <v>0</v>
      </c>
      <c r="D109" s="84">
        <f>'[1]Beschr-Descr.'!D46</f>
        <v>0</v>
      </c>
      <c r="E109" s="207">
        <f>'[1]Beschr-Descr.'!E46</f>
        <v>0</v>
      </c>
    </row>
    <row r="110" spans="1:5" x14ac:dyDescent="0.2">
      <c r="A110" s="84" t="str">
        <f>'[1]Beschr-Descr.'!A47</f>
        <v>Indennità di malattia quota INPS 50%</v>
      </c>
      <c r="B110" s="84"/>
      <c r="C110" s="84">
        <f>'[1]Beschr-Descr.'!C47</f>
        <v>0</v>
      </c>
      <c r="D110" s="84">
        <f>'[1]Beschr-Descr.'!D47</f>
        <v>0</v>
      </c>
      <c r="E110" s="207">
        <f>'[1]Beschr-Descr.'!E47</f>
        <v>-0.5</v>
      </c>
    </row>
    <row r="111" spans="1:5" x14ac:dyDescent="0.2">
      <c r="A111" s="84" t="str">
        <f>'[1]Beschr-Descr.'!A48</f>
        <v>Indennità di malattia quota INPS 66,67%</v>
      </c>
      <c r="B111" s="84"/>
      <c r="C111" s="84">
        <f>'[1]Beschr-Descr.'!C48</f>
        <v>0</v>
      </c>
      <c r="D111" s="84">
        <f>'[1]Beschr-Descr.'!D48</f>
        <v>0</v>
      </c>
      <c r="E111" s="207">
        <f>'[1]Beschr-Descr.'!E48</f>
        <v>-0.66669999999999996</v>
      </c>
    </row>
    <row r="112" spans="1:5" x14ac:dyDescent="0.2">
      <c r="A112" s="84" t="str">
        <f>'[1]Beschr-Descr.'!A49</f>
        <v>Indennità di maternità importo totale</v>
      </c>
      <c r="B112" s="84"/>
      <c r="C112" s="84">
        <f>'[1]Beschr-Descr.'!C49</f>
        <v>0</v>
      </c>
      <c r="D112" s="84">
        <f>'[1]Beschr-Descr.'!D49</f>
        <v>0</v>
      </c>
      <c r="E112" s="207">
        <f>'[1]Beschr-Descr.'!E49</f>
        <v>0</v>
      </c>
    </row>
    <row r="113" spans="1:5" x14ac:dyDescent="0.2">
      <c r="A113" s="84" t="str">
        <f>'[1]Beschr-Descr.'!A50</f>
        <v>Indennità di maternità quota INPS 80,00%</v>
      </c>
      <c r="B113" s="84"/>
      <c r="C113" s="84">
        <f>'[1]Beschr-Descr.'!C50</f>
        <v>0</v>
      </c>
      <c r="D113" s="84">
        <f>'[1]Beschr-Descr.'!D50</f>
        <v>0</v>
      </c>
      <c r="E113" s="207">
        <f>'[1]Beschr-Descr.'!E50</f>
        <v>-0.8</v>
      </c>
    </row>
    <row r="114" spans="1:5" x14ac:dyDescent="0.2">
      <c r="A114" s="84" t="str">
        <f>'[1]Beschr-Descr.'!A51</f>
        <v>Lordizzazione indennità malattia quota INPS</v>
      </c>
      <c r="B114" s="84"/>
      <c r="C114" s="84">
        <f>'[1]Beschr-Descr.'!C51</f>
        <v>0</v>
      </c>
      <c r="D114" s="84">
        <f>'[1]Beschr-Descr.'!D51</f>
        <v>0</v>
      </c>
      <c r="E114" s="207">
        <f>'[1]Beschr-Descr.'!E51</f>
        <v>0.1012</v>
      </c>
    </row>
    <row r="115" spans="1:5" x14ac:dyDescent="0.2">
      <c r="A115" s="84">
        <f>'[1]Beschr-Descr.'!A52</f>
        <v>0</v>
      </c>
      <c r="B115" s="84"/>
      <c r="C115" s="84">
        <f>'[1]Beschr-Descr.'!C52</f>
        <v>0</v>
      </c>
      <c r="D115" s="84">
        <f>'[1]Beschr-Descr.'!D52</f>
        <v>0</v>
      </c>
      <c r="E115" s="207">
        <f>'[1]Beschr-Descr.'!E52</f>
        <v>0</v>
      </c>
    </row>
    <row r="116" spans="1:5" x14ac:dyDescent="0.2">
      <c r="A116" s="84" t="str">
        <f>'[1]Beschr-Descr.'!A53</f>
        <v>13a mensilità</v>
      </c>
      <c r="B116" s="84"/>
      <c r="C116" s="84">
        <f>'[1]Beschr-Descr.'!C53</f>
        <v>0</v>
      </c>
      <c r="D116" s="84">
        <f>'[1]Beschr-Descr.'!D53</f>
        <v>0</v>
      </c>
      <c r="E116" s="207">
        <f>'[1]Beschr-Descr.'!E53</f>
        <v>0</v>
      </c>
    </row>
    <row r="117" spans="1:5" x14ac:dyDescent="0.2">
      <c r="A117" s="84" t="str">
        <f>'[1]Beschr-Descr.'!A54</f>
        <v>14a mensilità</v>
      </c>
      <c r="B117" s="84"/>
      <c r="C117" s="84">
        <f>'[1]Beschr-Descr.'!C54</f>
        <v>0</v>
      </c>
      <c r="D117" s="84">
        <f>'[1]Beschr-Descr.'!D54</f>
        <v>0</v>
      </c>
      <c r="E117" s="207">
        <f>'[1]Beschr-Descr.'!E54</f>
        <v>0</v>
      </c>
    </row>
    <row r="118" spans="1:5" x14ac:dyDescent="0.2">
      <c r="A118" s="84" t="str">
        <f>'[1]Beschr-Descr.'!A55</f>
        <v>Mancato rispetto periodo preavviso licenziamento</v>
      </c>
      <c r="B118" s="84"/>
      <c r="C118" s="84">
        <f>'[1]Beschr-Descr.'!C55</f>
        <v>0</v>
      </c>
      <c r="D118" s="84">
        <f>'[1]Beschr-Descr.'!D55</f>
        <v>0</v>
      </c>
      <c r="E118" s="207">
        <f>'[1]Beschr-Descr.'!E55</f>
        <v>0</v>
      </c>
    </row>
    <row r="119" spans="1:5" x14ac:dyDescent="0.2">
      <c r="A119" s="84" t="str">
        <f>'[1]Beschr-Descr.'!A56</f>
        <v>Una Tantum</v>
      </c>
      <c r="B119" s="84"/>
      <c r="C119" s="84">
        <f>'[1]Beschr-Descr.'!C56</f>
        <v>0</v>
      </c>
      <c r="D119" s="84">
        <f>'[1]Beschr-Descr.'!D56</f>
        <v>0</v>
      </c>
      <c r="E119" s="207">
        <f>'[1]Beschr-Descr.'!E56</f>
        <v>0</v>
      </c>
    </row>
    <row r="120" spans="1:5" x14ac:dyDescent="0.2">
      <c r="A120" s="84" t="str">
        <f>'[1]Beschr-Descr.'!A57</f>
        <v>Premio</v>
      </c>
      <c r="B120" s="84"/>
      <c r="C120" s="84">
        <f>'[1]Beschr-Descr.'!C57</f>
        <v>0</v>
      </c>
      <c r="D120" s="84">
        <f>'[1]Beschr-Descr.'!D57</f>
        <v>0</v>
      </c>
      <c r="E120" s="207">
        <f>'[1]Beschr-Descr.'!E57</f>
        <v>0</v>
      </c>
    </row>
    <row r="121" spans="1:5" x14ac:dyDescent="0.2">
      <c r="A121" s="84">
        <f>'[1]Beschr-Descr.'!A58</f>
        <v>0</v>
      </c>
      <c r="B121" s="84"/>
      <c r="C121" s="84">
        <f>'[1]Beschr-Descr.'!C58</f>
        <v>0</v>
      </c>
      <c r="D121" s="84">
        <f>'[1]Beschr-Descr.'!D58</f>
        <v>0</v>
      </c>
      <c r="E121" s="207">
        <f>'[1]Beschr-Descr.'!E58</f>
        <v>0</v>
      </c>
    </row>
    <row r="122" spans="1:5" x14ac:dyDescent="0.2">
      <c r="A122">
        <f>'[1]Beschr-Descr.'!A63</f>
        <v>0</v>
      </c>
    </row>
    <row r="123" spans="1:5" x14ac:dyDescent="0.2">
      <c r="A123">
        <f>'[1]Beschr-Descr.'!A64</f>
        <v>0</v>
      </c>
    </row>
    <row r="124" spans="1:5" x14ac:dyDescent="0.2">
      <c r="A124">
        <f>'[1]Beschr-Descr.'!A65</f>
        <v>0</v>
      </c>
    </row>
    <row r="125" spans="1:5" x14ac:dyDescent="0.2">
      <c r="A125">
        <f>'[1]Beschr-Descr.'!A66</f>
        <v>0</v>
      </c>
    </row>
    <row r="126" spans="1:5" x14ac:dyDescent="0.2">
      <c r="A126">
        <f>'[1]Beschr-Descr.'!A67</f>
        <v>0</v>
      </c>
    </row>
    <row r="127" spans="1:5" x14ac:dyDescent="0.2">
      <c r="A127">
        <f>'[1]Beschr-Descr.'!A68</f>
        <v>0</v>
      </c>
    </row>
    <row r="128" spans="1:5" x14ac:dyDescent="0.2">
      <c r="A128">
        <f>'[1]Beschr-Descr.'!A69</f>
        <v>0</v>
      </c>
    </row>
    <row r="129" spans="1:1" x14ac:dyDescent="0.2">
      <c r="A129">
        <f>'[1]Beschr-Descr.'!A70</f>
        <v>0</v>
      </c>
    </row>
    <row r="130" spans="1:1" x14ac:dyDescent="0.2">
      <c r="A130">
        <f>'[1]Beschr-Descr.'!A71</f>
        <v>0</v>
      </c>
    </row>
    <row r="131" spans="1:1" x14ac:dyDescent="0.2">
      <c r="A131">
        <f>'[1]Beschr-Descr.'!A72</f>
        <v>0</v>
      </c>
    </row>
    <row r="132" spans="1:1" x14ac:dyDescent="0.2">
      <c r="A132">
        <f>'[1]Beschr-Descr.'!A73</f>
        <v>0</v>
      </c>
    </row>
    <row r="133" spans="1:1" x14ac:dyDescent="0.2">
      <c r="A133">
        <f>'[1]Beschr-Descr.'!A74</f>
        <v>0</v>
      </c>
    </row>
    <row r="134" spans="1:1" x14ac:dyDescent="0.2">
      <c r="A134">
        <f>'[1]Beschr-Descr.'!A75</f>
        <v>0</v>
      </c>
    </row>
    <row r="135" spans="1:1" x14ac:dyDescent="0.2">
      <c r="A135">
        <f>'[1]Beschr-Descr.'!A76</f>
        <v>0</v>
      </c>
    </row>
    <row r="136" spans="1:1" x14ac:dyDescent="0.2">
      <c r="A136">
        <f>'[1]Beschr-Descr.'!A77</f>
        <v>0</v>
      </c>
    </row>
    <row r="137" spans="1:1" x14ac:dyDescent="0.2">
      <c r="A137">
        <f>'[1]Beschr-Descr.'!A78</f>
        <v>0</v>
      </c>
    </row>
    <row r="138" spans="1:1" x14ac:dyDescent="0.2">
      <c r="A138">
        <f>'[1]Beschr-Descr.'!A79</f>
        <v>0</v>
      </c>
    </row>
    <row r="139" spans="1:1" x14ac:dyDescent="0.2">
      <c r="A139">
        <f>'[1]Beschr-Descr.'!A80</f>
        <v>0</v>
      </c>
    </row>
    <row r="140" spans="1:1" x14ac:dyDescent="0.2">
      <c r="A140">
        <f>'[1]Beschr-Descr.'!A81</f>
        <v>0</v>
      </c>
    </row>
    <row r="141" spans="1:1" x14ac:dyDescent="0.2">
      <c r="A141">
        <f>'[1]Beschr-Descr.'!A82</f>
        <v>0</v>
      </c>
    </row>
    <row r="142" spans="1:1" x14ac:dyDescent="0.2">
      <c r="A142">
        <f>'[1]Beschr-Descr.'!A83</f>
        <v>0</v>
      </c>
    </row>
    <row r="143" spans="1:1" x14ac:dyDescent="0.2">
      <c r="A143">
        <f>'[1]Beschr-Descr.'!A84</f>
        <v>0</v>
      </c>
    </row>
    <row r="144" spans="1:1" x14ac:dyDescent="0.2">
      <c r="A144">
        <f>'[1]Beschr-Descr.'!A85</f>
        <v>0</v>
      </c>
    </row>
    <row r="145" spans="1:1" x14ac:dyDescent="0.2">
      <c r="A145">
        <f>'[1]Beschr-Descr.'!A86</f>
        <v>0</v>
      </c>
    </row>
    <row r="146" spans="1:1" x14ac:dyDescent="0.2">
      <c r="A146">
        <f>'[1]Beschr-Descr.'!A87</f>
        <v>0</v>
      </c>
    </row>
    <row r="147" spans="1:1" x14ac:dyDescent="0.2">
      <c r="A147">
        <f>'[1]Beschr-Descr.'!A88</f>
        <v>0</v>
      </c>
    </row>
    <row r="148" spans="1:1" x14ac:dyDescent="0.2">
      <c r="A148">
        <f>'[1]Beschr-Descr.'!A89</f>
        <v>0</v>
      </c>
    </row>
    <row r="149" spans="1:1" x14ac:dyDescent="0.2">
      <c r="A149">
        <f>'[1]Beschr-Descr.'!A90</f>
        <v>0</v>
      </c>
    </row>
    <row r="150" spans="1:1" x14ac:dyDescent="0.2">
      <c r="A150">
        <f>'[1]Beschr-Descr.'!A91</f>
        <v>0</v>
      </c>
    </row>
    <row r="151" spans="1:1" x14ac:dyDescent="0.2">
      <c r="A151">
        <f>'[1]Beschr-Descr.'!A92</f>
        <v>0</v>
      </c>
    </row>
    <row r="152" spans="1:1" x14ac:dyDescent="0.2">
      <c r="A152">
        <f>'[1]Beschr-Descr.'!A93</f>
        <v>0</v>
      </c>
    </row>
    <row r="153" spans="1:1" x14ac:dyDescent="0.2">
      <c r="A153">
        <f>'[1]Beschr-Descr.'!A94</f>
        <v>0</v>
      </c>
    </row>
    <row r="154" spans="1:1" x14ac:dyDescent="0.2">
      <c r="A154">
        <f>'[1]Beschr-Descr.'!A95</f>
        <v>0</v>
      </c>
    </row>
    <row r="155" spans="1:1" x14ac:dyDescent="0.2">
      <c r="A155">
        <f>'[1]Beschr-Descr.'!A96</f>
        <v>0</v>
      </c>
    </row>
    <row r="156" spans="1:1" x14ac:dyDescent="0.2">
      <c r="A156">
        <f>'[1]Beschr-Descr.'!A97</f>
        <v>0</v>
      </c>
    </row>
    <row r="157" spans="1:1" x14ac:dyDescent="0.2">
      <c r="A157">
        <f>'[1]Beschr-Descr.'!A98</f>
        <v>0</v>
      </c>
    </row>
    <row r="158" spans="1:1" x14ac:dyDescent="0.2">
      <c r="A158">
        <f>'[1]Beschr-Descr.'!A99</f>
        <v>0</v>
      </c>
    </row>
    <row r="159" spans="1:1" x14ac:dyDescent="0.2">
      <c r="A159">
        <f>'[1]Beschr-Descr.'!A100</f>
        <v>0</v>
      </c>
    </row>
    <row r="160" spans="1:1" x14ac:dyDescent="0.2">
      <c r="A160">
        <f>'[1]Beschr-Descr.'!A101</f>
        <v>0</v>
      </c>
    </row>
    <row r="161" spans="1:1" x14ac:dyDescent="0.2">
      <c r="A161">
        <f>'[1]Beschr-Descr.'!A102</f>
        <v>0</v>
      </c>
    </row>
  </sheetData>
  <mergeCells count="67">
    <mergeCell ref="L50:L51"/>
    <mergeCell ref="N60:O60"/>
    <mergeCell ref="J54:O54"/>
    <mergeCell ref="J57:O57"/>
    <mergeCell ref="N55:O55"/>
    <mergeCell ref="N56:O56"/>
    <mergeCell ref="N58:O58"/>
    <mergeCell ref="N59:O59"/>
    <mergeCell ref="E59:F59"/>
    <mergeCell ref="E54:F54"/>
    <mergeCell ref="E58:F58"/>
    <mergeCell ref="E55:F55"/>
    <mergeCell ref="E56:F56"/>
    <mergeCell ref="E57:F57"/>
    <mergeCell ref="E3:F3"/>
    <mergeCell ref="E7:F7"/>
    <mergeCell ref="E5:F5"/>
    <mergeCell ref="E8:F8"/>
    <mergeCell ref="A26:C26"/>
    <mergeCell ref="E15:F15"/>
    <mergeCell ref="E16:F16"/>
    <mergeCell ref="E18:F18"/>
    <mergeCell ref="E9:F9"/>
    <mergeCell ref="A27:C27"/>
    <mergeCell ref="A19:C19"/>
    <mergeCell ref="A20:C20"/>
    <mergeCell ref="A28:C28"/>
    <mergeCell ref="A23:C23"/>
    <mergeCell ref="A24:C24"/>
    <mergeCell ref="A25:C25"/>
    <mergeCell ref="A22:C22"/>
    <mergeCell ref="A21:C21"/>
    <mergeCell ref="E44:F44"/>
    <mergeCell ref="E11:F11"/>
    <mergeCell ref="E13:F13"/>
    <mergeCell ref="E12:F12"/>
    <mergeCell ref="E14:F14"/>
    <mergeCell ref="U41:U43"/>
    <mergeCell ref="Q41:R42"/>
    <mergeCell ref="S41:S43"/>
    <mergeCell ref="T41:T43"/>
    <mergeCell ref="E51:F51"/>
    <mergeCell ref="E47:F47"/>
    <mergeCell ref="E48:F48"/>
    <mergeCell ref="E46:F46"/>
    <mergeCell ref="E50:F50"/>
    <mergeCell ref="K50:K51"/>
    <mergeCell ref="O50:O51"/>
    <mergeCell ref="N50:N51"/>
    <mergeCell ref="M50:M51"/>
    <mergeCell ref="E49:F49"/>
    <mergeCell ref="E43:F43"/>
    <mergeCell ref="E45:F45"/>
    <mergeCell ref="Q53:R53"/>
    <mergeCell ref="S53:S54"/>
    <mergeCell ref="T53:T54"/>
    <mergeCell ref="U53:U54"/>
    <mergeCell ref="E52:F52"/>
    <mergeCell ref="J52:O52"/>
    <mergeCell ref="J1:O1"/>
    <mergeCell ref="J8:O9"/>
    <mergeCell ref="J10:J18"/>
    <mergeCell ref="K10:K18"/>
    <mergeCell ref="M10:M18"/>
    <mergeCell ref="N10:N18"/>
    <mergeCell ref="O10:O18"/>
    <mergeCell ref="L10:L18"/>
  </mergeCells>
  <phoneticPr fontId="2" type="noConversion"/>
  <dataValidations disablePrompts="1" count="2">
    <dataValidation type="list" allowBlank="1" showInputMessage="1" showErrorMessage="1" sqref="E19:E28" xr:uid="{00000000-0002-0000-0C00-000000000000}">
      <formula1>$F$67:$F$70</formula1>
    </dataValidation>
    <dataValidation type="list" allowBlank="1" showInputMessage="1" showErrorMessage="1" sqref="A19:C28" xr:uid="{00000000-0002-0000-0C00-000001000000}">
      <formula1>$A$67:$A$149</formula1>
    </dataValidation>
  </dataValidations>
  <printOptions horizontalCentered="1" verticalCentered="1"/>
  <pageMargins left="0.19685039370078741" right="0.19685039370078741" top="0.39370078740157483" bottom="0.39370078740157483" header="0" footer="0.19685039370078741"/>
  <pageSetup paperSize="9" orientation="portrait" r:id="rId1"/>
  <headerFooter alignWithMargins="0">
    <oddFooter>&amp;C&amp;"Calibri,Standard"Lohnberechnung FRINO PRO 2017 von Dr. Friedrich Nöckler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4340" r:id="rId4" name="Drop Down 4">
              <controlPr defaultSize="0" print="0" autoLine="0" autoPict="0">
                <anchor moveWithCells="1">
                  <from>
                    <xdr:col>6</xdr:col>
                    <xdr:colOff>9525</xdr:colOff>
                    <xdr:row>1</xdr:row>
                    <xdr:rowOff>142875</xdr:rowOff>
                  </from>
                  <to>
                    <xdr:col>8</xdr:col>
                    <xdr:colOff>552450</xdr:colOff>
                    <xdr:row>2</xdr:row>
                    <xdr:rowOff>171450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Tabelle14"/>
  <dimension ref="A1:Z163"/>
  <sheetViews>
    <sheetView showGridLines="0" showZeros="0" zoomScaleNormal="100" workbookViewId="0"/>
  </sheetViews>
  <sheetFormatPr baseColWidth="10" defaultRowHeight="12.75" x14ac:dyDescent="0.2"/>
  <cols>
    <col min="1" max="1" width="11.28515625" customWidth="1"/>
    <col min="2" max="2" width="11.7109375" customWidth="1"/>
    <col min="3" max="3" width="10.85546875" customWidth="1"/>
    <col min="4" max="4" width="11.28515625" customWidth="1"/>
    <col min="5" max="5" width="5.42578125" customWidth="1"/>
    <col min="6" max="6" width="6" customWidth="1"/>
    <col min="7" max="7" width="11.140625" customWidth="1"/>
    <col min="8" max="8" width="9.85546875" customWidth="1"/>
    <col min="9" max="9" width="9.140625" customWidth="1"/>
    <col min="10" max="10" width="2.5703125" style="277" customWidth="1"/>
    <col min="11" max="15" width="2.140625" customWidth="1"/>
    <col min="16" max="16" width="2.28515625" customWidth="1"/>
    <col min="17" max="17" width="11.28515625" customWidth="1"/>
    <col min="18" max="18" width="10.7109375" customWidth="1"/>
    <col min="19" max="19" width="9" bestFit="1" customWidth="1"/>
    <col min="20" max="20" width="11.28515625" bestFit="1" customWidth="1"/>
    <col min="21" max="21" width="8.5703125" bestFit="1" customWidth="1"/>
    <col min="22" max="24" width="10.7109375" customWidth="1"/>
  </cols>
  <sheetData>
    <row r="1" spans="1:26" s="144" customFormat="1" ht="16.5" customHeight="1" x14ac:dyDescent="0.2">
      <c r="A1" s="316" t="s">
        <v>106</v>
      </c>
      <c r="B1" s="317"/>
      <c r="C1" s="317"/>
      <c r="D1" s="317"/>
      <c r="E1" s="317"/>
      <c r="F1" s="317"/>
      <c r="G1" s="317"/>
      <c r="H1" s="317"/>
      <c r="I1" s="318" t="s">
        <v>47</v>
      </c>
      <c r="J1" s="473">
        <f>[1]Firma!$A$23</f>
        <v>45627</v>
      </c>
      <c r="K1" s="473"/>
      <c r="L1" s="473"/>
      <c r="M1" s="473"/>
      <c r="N1" s="473"/>
      <c r="O1" s="474"/>
      <c r="P1" s="143"/>
      <c r="Q1" s="143"/>
      <c r="R1" s="143"/>
      <c r="S1" s="143"/>
      <c r="T1" s="143"/>
      <c r="U1" s="143"/>
      <c r="V1" s="143"/>
      <c r="W1" s="143"/>
      <c r="X1" s="143"/>
      <c r="Y1" s="143"/>
      <c r="Z1" s="143"/>
    </row>
    <row r="2" spans="1:26" s="124" customFormat="1" ht="12.75" customHeight="1" x14ac:dyDescent="0.2">
      <c r="A2" s="199" t="s">
        <v>107</v>
      </c>
      <c r="B2" s="200"/>
      <c r="C2" s="200"/>
      <c r="D2" s="201"/>
      <c r="E2" s="188" t="s">
        <v>132</v>
      </c>
      <c r="F2" s="202"/>
      <c r="G2" s="200"/>
      <c r="H2" s="200"/>
      <c r="I2" s="203"/>
      <c r="J2" s="302"/>
      <c r="K2" s="201"/>
      <c r="L2" s="201"/>
      <c r="M2" s="201"/>
      <c r="N2" s="200"/>
      <c r="O2" s="303"/>
      <c r="P2" s="121"/>
      <c r="Q2" s="121"/>
      <c r="R2" s="121"/>
      <c r="S2" s="121"/>
      <c r="T2" s="121"/>
      <c r="U2" s="121"/>
      <c r="V2" s="121"/>
      <c r="W2" s="121"/>
      <c r="X2" s="121"/>
      <c r="Y2" s="121"/>
      <c r="Z2" s="121"/>
    </row>
    <row r="3" spans="1:26" ht="16.899999999999999" customHeight="1" x14ac:dyDescent="0.2">
      <c r="A3" s="88" t="s">
        <v>100</v>
      </c>
      <c r="B3" s="83" t="str">
        <f>[1]Firma!$A$4</f>
        <v>Asues GmbH</v>
      </c>
      <c r="C3" s="1"/>
      <c r="D3" s="1"/>
      <c r="E3" s="555" t="s">
        <v>126</v>
      </c>
      <c r="F3" s="556"/>
      <c r="G3" s="1" t="str">
        <f>VLOOKUP(P3,'[1]Mit-1'!$A$5:$B$19,2,FALSE)</f>
        <v>AAAAA BBBBB</v>
      </c>
      <c r="H3" s="1"/>
      <c r="I3" s="2"/>
      <c r="J3" s="304"/>
      <c r="K3" s="72"/>
      <c r="L3" s="72"/>
      <c r="M3" s="72"/>
      <c r="N3" s="72"/>
      <c r="O3" s="134"/>
      <c r="P3" s="72">
        <v>1</v>
      </c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0.5" customHeight="1" x14ac:dyDescent="0.2">
      <c r="A4" s="87" t="s">
        <v>101</v>
      </c>
      <c r="B4" s="3" t="str">
        <f>[1]Firma!$B$4</f>
        <v>Josef-Ferrari-Straße 12; 39031 Bruneck (BZ)</v>
      </c>
      <c r="C4" s="3"/>
      <c r="D4" s="3"/>
      <c r="E4" s="187" t="s">
        <v>127</v>
      </c>
      <c r="G4" s="30" t="str">
        <f>VLOOKUP($P$3,'[1]Mit-1'!$A$5:$U$19,3,FALSE)</f>
        <v>Michael-Pacher-Straße 10, 39031 Bruneck</v>
      </c>
      <c r="I4" s="134"/>
      <c r="N4" s="1"/>
      <c r="O4" s="2"/>
      <c r="P4" s="1"/>
      <c r="V4" s="1"/>
      <c r="W4" s="1"/>
      <c r="X4" s="1"/>
      <c r="Y4" s="1"/>
      <c r="Z4" s="1"/>
    </row>
    <row r="5" spans="1:26" ht="16.899999999999999" customHeight="1" x14ac:dyDescent="0.2">
      <c r="A5" s="88" t="s">
        <v>102</v>
      </c>
      <c r="B5" s="288" t="str">
        <f>[1]Firma!$C$4</f>
        <v>IT09997110213</v>
      </c>
      <c r="C5" s="3"/>
      <c r="D5" s="3"/>
      <c r="E5" s="555" t="s">
        <v>103</v>
      </c>
      <c r="F5" s="556"/>
      <c r="G5" s="30" t="str">
        <f>VLOOKUP($P$3,'[1]Mit-1'!$A$5:$U$19,6,FALSE)</f>
        <v>AAABBB84B11B220G</v>
      </c>
      <c r="I5" s="2"/>
      <c r="K5" s="1"/>
      <c r="L5" s="1"/>
      <c r="M5" s="1"/>
      <c r="N5" s="1"/>
      <c r="O5" s="2"/>
      <c r="P5" s="1"/>
      <c r="Q5" s="546" t="s">
        <v>136</v>
      </c>
      <c r="R5" s="547"/>
      <c r="S5" s="548"/>
      <c r="T5" s="1"/>
      <c r="U5" s="1"/>
      <c r="V5" s="1"/>
      <c r="W5" s="1"/>
      <c r="X5" s="1"/>
      <c r="Y5" s="1"/>
      <c r="Z5" s="1"/>
    </row>
    <row r="6" spans="1:26" ht="16.899999999999999" customHeight="1" x14ac:dyDescent="0.2">
      <c r="A6" s="88" t="s">
        <v>103</v>
      </c>
      <c r="B6" s="288" t="str">
        <f>[1]Firma!$D$4</f>
        <v>09997110213</v>
      </c>
      <c r="C6" s="3"/>
      <c r="D6" s="3"/>
      <c r="E6" s="187" t="s">
        <v>128</v>
      </c>
      <c r="G6" s="149">
        <f>VLOOKUP($P$3,'[1]Mit-1'!$A$28:$C$42,3,FALSE)</f>
        <v>1</v>
      </c>
      <c r="H6" s="89" t="s">
        <v>9</v>
      </c>
      <c r="I6" s="54">
        <f>VLOOKUP($P$3,'[1]Mit-1'!$A$5:$U$19,7,FALSE)</f>
        <v>45597</v>
      </c>
      <c r="N6" s="1"/>
      <c r="O6" s="2"/>
      <c r="P6" s="1"/>
      <c r="Q6" s="549"/>
      <c r="R6" s="550"/>
      <c r="S6" s="551"/>
      <c r="T6" s="1"/>
      <c r="U6" s="1"/>
      <c r="V6" s="1"/>
      <c r="W6" s="1"/>
      <c r="X6" s="1"/>
      <c r="Y6" s="1"/>
      <c r="Z6" s="1"/>
    </row>
    <row r="7" spans="1:26" ht="16.899999999999999" customHeight="1" x14ac:dyDescent="0.2">
      <c r="A7" s="87" t="s">
        <v>104</v>
      </c>
      <c r="B7" s="288" t="str">
        <f>[1]Firma!$E$4</f>
        <v>1420030006</v>
      </c>
      <c r="C7" s="3"/>
      <c r="D7" s="3"/>
      <c r="E7" s="555" t="s">
        <v>129</v>
      </c>
      <c r="F7" s="556"/>
      <c r="G7" s="36">
        <f>VLOOKUP($P$3,'[1]Mit-1'!$A$5:$U$19,4,FALSE)</f>
        <v>30723</v>
      </c>
      <c r="H7" s="90" t="s">
        <v>10</v>
      </c>
      <c r="I7" s="53" t="str">
        <f>VLOOKUP($P$3,'[1]Mit-1'!$A$5:$U$19,5,FALSE)</f>
        <v>Bruneck</v>
      </c>
      <c r="N7" s="1"/>
      <c r="O7" s="2"/>
      <c r="P7" s="1"/>
      <c r="Q7" s="552" t="s">
        <v>134</v>
      </c>
      <c r="R7" s="553"/>
      <c r="S7" s="554"/>
      <c r="T7" s="1"/>
      <c r="U7" s="1"/>
      <c r="V7" s="1"/>
      <c r="W7" s="1"/>
      <c r="X7" s="1"/>
      <c r="Y7" s="1"/>
      <c r="Z7" s="1"/>
    </row>
    <row r="8" spans="1:26" ht="16.899999999999999" customHeight="1" x14ac:dyDescent="0.2">
      <c r="A8" s="87" t="s">
        <v>105</v>
      </c>
      <c r="B8" s="288" t="str">
        <f>[1]Firma!$F$4</f>
        <v>13625</v>
      </c>
      <c r="C8" s="3"/>
      <c r="D8" s="3"/>
      <c r="E8" s="555" t="s">
        <v>130</v>
      </c>
      <c r="F8" s="556"/>
      <c r="G8" s="149">
        <f>VLOOKUP($P$3,'[1]Mit-2'!$A$5:$P$19,16,FALSE)</f>
        <v>2</v>
      </c>
      <c r="H8" s="91" t="s">
        <v>231</v>
      </c>
      <c r="I8" s="150">
        <f>VLOOKUP($P$3,'[1]Mit-2'!$A$46:$AD$60,30,FALSE)</f>
        <v>0</v>
      </c>
      <c r="J8" s="475" t="s">
        <v>226</v>
      </c>
      <c r="K8" s="476"/>
      <c r="L8" s="476"/>
      <c r="M8" s="476"/>
      <c r="N8" s="476"/>
      <c r="O8" s="477"/>
      <c r="P8" s="1"/>
      <c r="Q8" s="552"/>
      <c r="R8" s="553"/>
      <c r="S8" s="554"/>
      <c r="T8" s="1"/>
      <c r="U8" s="1"/>
      <c r="V8" s="1"/>
      <c r="W8" s="1"/>
      <c r="X8" s="1"/>
      <c r="Y8" s="1"/>
      <c r="Z8" s="1"/>
    </row>
    <row r="9" spans="1:26" ht="16.899999999999999" customHeight="1" x14ac:dyDescent="0.2">
      <c r="A9" s="135"/>
      <c r="B9" s="72"/>
      <c r="C9" s="72"/>
      <c r="D9" s="72"/>
      <c r="E9" s="555" t="s">
        <v>131</v>
      </c>
      <c r="F9" s="556"/>
      <c r="G9" s="447">
        <f>VLOOKUP($P$3,'[1]Mit-2'!$A$5:$AD$19,30,FALSE)</f>
        <v>100</v>
      </c>
      <c r="H9" s="90" t="s">
        <v>232</v>
      </c>
      <c r="I9" s="429"/>
      <c r="J9" s="478"/>
      <c r="K9" s="479"/>
      <c r="L9" s="479"/>
      <c r="M9" s="479"/>
      <c r="N9" s="479"/>
      <c r="O9" s="480"/>
      <c r="P9" s="1"/>
      <c r="Q9" s="198"/>
      <c r="R9" s="430"/>
      <c r="S9" s="2"/>
      <c r="T9" s="287">
        <f>[1]Firma!$B$23</f>
        <v>31</v>
      </c>
      <c r="U9" s="1"/>
      <c r="V9" s="1"/>
      <c r="W9" s="1"/>
      <c r="X9" s="1"/>
      <c r="Y9" s="1"/>
      <c r="Z9" s="1"/>
    </row>
    <row r="10" spans="1:26" ht="10.9" customHeight="1" x14ac:dyDescent="0.2">
      <c r="A10" s="189" t="s">
        <v>108</v>
      </c>
      <c r="B10" s="26"/>
      <c r="C10" s="26"/>
      <c r="D10" s="26"/>
      <c r="E10" s="26"/>
      <c r="F10" s="26"/>
      <c r="G10" s="26"/>
      <c r="H10" s="26"/>
      <c r="I10" s="190"/>
      <c r="J10" s="481" t="s">
        <v>227</v>
      </c>
      <c r="K10" s="484" t="s">
        <v>228</v>
      </c>
      <c r="L10" s="487" t="s">
        <v>229</v>
      </c>
      <c r="M10" s="487" t="s">
        <v>264</v>
      </c>
      <c r="N10" s="487" t="s">
        <v>265</v>
      </c>
      <c r="O10" s="557" t="s">
        <v>266</v>
      </c>
      <c r="P10" s="1"/>
      <c r="Q10" s="538" t="s">
        <v>207</v>
      </c>
      <c r="R10" s="539"/>
      <c r="S10" s="540"/>
      <c r="T10" s="1"/>
      <c r="U10" s="1"/>
      <c r="V10" s="1"/>
      <c r="W10" s="1"/>
      <c r="X10" s="1"/>
      <c r="Y10" s="1"/>
      <c r="Z10" s="1"/>
    </row>
    <row r="11" spans="1:26" s="94" customFormat="1" ht="13.9" customHeight="1" x14ac:dyDescent="0.15">
      <c r="A11" s="181" t="s">
        <v>16</v>
      </c>
      <c r="B11" s="182" t="s">
        <v>11</v>
      </c>
      <c r="C11" s="182" t="s">
        <v>12</v>
      </c>
      <c r="D11" s="182" t="s">
        <v>13</v>
      </c>
      <c r="E11" s="544" t="s">
        <v>14</v>
      </c>
      <c r="F11" s="545"/>
      <c r="G11" s="182" t="s">
        <v>15</v>
      </c>
      <c r="H11" s="183" t="s">
        <v>218</v>
      </c>
      <c r="I11" s="186"/>
      <c r="J11" s="482"/>
      <c r="K11" s="485"/>
      <c r="L11" s="488"/>
      <c r="M11" s="488"/>
      <c r="N11" s="488"/>
      <c r="O11" s="558"/>
      <c r="P11" s="93"/>
      <c r="Q11" s="541"/>
      <c r="R11" s="542"/>
      <c r="S11" s="543"/>
      <c r="T11" s="93"/>
      <c r="U11" s="93"/>
      <c r="V11" s="93"/>
      <c r="W11" s="93"/>
      <c r="X11" s="93"/>
      <c r="Y11" s="93"/>
      <c r="Z11" s="93"/>
    </row>
    <row r="12" spans="1:26" ht="12" customHeight="1" x14ac:dyDescent="0.2">
      <c r="A12" s="171">
        <f>VLOOKUP($G$8,'[1]Lohntab-Tab-retr.'!$A$7:$O$15,15,FALSE)</f>
        <v>1477.83</v>
      </c>
      <c r="B12" s="172">
        <f>VLOOKUP($G$8,'[1]Lohntab-Tab-retr.'!$A$21:$O$29,15,FALSE)</f>
        <v>532.54</v>
      </c>
      <c r="C12" s="172">
        <f>I8*VLOOKUP($G$8,'[1]Lohntab-Tab-retr.'!$A$63:$O$71,15,FALSE)</f>
        <v>0</v>
      </c>
      <c r="D12" s="172">
        <f>VLOOKUP($G$8,'[1]Lohntab-Tab-retr.'!$A$35:$O$43,15,FALSE)</f>
        <v>0</v>
      </c>
      <c r="E12" s="560">
        <f>VLOOKUP($G$8,'[1]Lohntab-Tab-retr.'!$A$49:$O$57,15,FALSE)</f>
        <v>8</v>
      </c>
      <c r="F12" s="560"/>
      <c r="G12" s="172">
        <f>VLOOKUP($P$3,'[1]Mit-2'!$A$24:$P$38,16,FALSE)</f>
        <v>0</v>
      </c>
      <c r="H12" s="172">
        <f>VLOOKUP($G$8,'[1]Lohntab-Tab-retr.'!$A$77:$O$85,5,FALSE)</f>
        <v>0</v>
      </c>
      <c r="I12" s="173"/>
      <c r="J12" s="482"/>
      <c r="K12" s="485"/>
      <c r="L12" s="488"/>
      <c r="M12" s="488"/>
      <c r="N12" s="488"/>
      <c r="O12" s="558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s="94" customFormat="1" ht="13.9" customHeight="1" x14ac:dyDescent="0.15">
      <c r="A13" s="168" t="s">
        <v>17</v>
      </c>
      <c r="B13" s="169" t="s">
        <v>18</v>
      </c>
      <c r="C13" s="169" t="s">
        <v>19</v>
      </c>
      <c r="D13" s="169" t="s">
        <v>20</v>
      </c>
      <c r="E13" s="561" t="s">
        <v>24</v>
      </c>
      <c r="F13" s="562"/>
      <c r="G13" s="169" t="s">
        <v>23</v>
      </c>
      <c r="H13" s="170" t="s">
        <v>21</v>
      </c>
      <c r="I13" s="177" t="s">
        <v>22</v>
      </c>
      <c r="J13" s="482"/>
      <c r="K13" s="485"/>
      <c r="L13" s="488"/>
      <c r="M13" s="488"/>
      <c r="N13" s="488"/>
      <c r="O13" s="558"/>
      <c r="P13" s="93"/>
      <c r="Q13" s="93"/>
      <c r="R13" s="93"/>
      <c r="S13" s="93"/>
      <c r="T13" s="93"/>
      <c r="U13" s="93"/>
      <c r="V13" s="93"/>
      <c r="W13" s="93"/>
      <c r="X13" s="93"/>
      <c r="Y13" s="93"/>
      <c r="Z13" s="93"/>
    </row>
    <row r="14" spans="1:26" ht="12" customHeight="1" x14ac:dyDescent="0.2">
      <c r="A14" s="178">
        <f>[1]Tab!G140</f>
        <v>168</v>
      </c>
      <c r="B14" s="240">
        <f>[1]Tab!G141</f>
        <v>26</v>
      </c>
      <c r="C14" s="179">
        <f>ROUND(I14/A14,5)</f>
        <v>12.014110000000001</v>
      </c>
      <c r="D14" s="179">
        <f>ROUND(I14/B14,5)</f>
        <v>77.629620000000003</v>
      </c>
      <c r="E14" s="563">
        <f>COUNT(K19:K49)</f>
        <v>0</v>
      </c>
      <c r="F14" s="563"/>
      <c r="G14" s="240">
        <f>K50</f>
        <v>0</v>
      </c>
      <c r="H14" s="240">
        <v>26</v>
      </c>
      <c r="I14" s="180">
        <f>SUM(A12:I12)</f>
        <v>2018.37</v>
      </c>
      <c r="J14" s="482"/>
      <c r="K14" s="485"/>
      <c r="L14" s="488"/>
      <c r="M14" s="488"/>
      <c r="N14" s="488"/>
      <c r="O14" s="558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</row>
    <row r="15" spans="1:26" s="94" customFormat="1" ht="13.9" customHeight="1" x14ac:dyDescent="0.15">
      <c r="A15" s="174" t="s">
        <v>26</v>
      </c>
      <c r="B15" s="175" t="s">
        <v>27</v>
      </c>
      <c r="C15" s="175" t="s">
        <v>25</v>
      </c>
      <c r="D15" s="175" t="s">
        <v>259</v>
      </c>
      <c r="E15" s="564" t="s">
        <v>260</v>
      </c>
      <c r="F15" s="565"/>
      <c r="G15" s="175" t="s">
        <v>261</v>
      </c>
      <c r="H15" s="146"/>
      <c r="I15" s="176"/>
      <c r="J15" s="482"/>
      <c r="K15" s="485"/>
      <c r="L15" s="488"/>
      <c r="M15" s="488"/>
      <c r="N15" s="488"/>
      <c r="O15" s="558"/>
      <c r="P15" s="93"/>
      <c r="Q15" s="93"/>
      <c r="R15" s="93"/>
      <c r="S15" s="93"/>
      <c r="T15" s="93"/>
      <c r="U15" s="93"/>
      <c r="V15" s="93"/>
      <c r="W15" s="93"/>
      <c r="X15" s="93"/>
      <c r="Y15" s="93"/>
      <c r="Z15" s="93"/>
    </row>
    <row r="16" spans="1:26" ht="12" customHeight="1" x14ac:dyDescent="0.2">
      <c r="A16" s="440">
        <f>'11'!A16+(VLOOKUP($P$3,'[1]Mit-2'!$A$90:$P$104,16,FALSE))*G9%</f>
        <v>0</v>
      </c>
      <c r="B16" s="438">
        <f>M50</f>
        <v>0</v>
      </c>
      <c r="C16" s="438">
        <f>A16-B16</f>
        <v>0</v>
      </c>
      <c r="D16" s="438">
        <f>'11'!D16+(VLOOKUP($P$3,'[1]Mit-2'!$A$90:$AD$104,30,FALSE))*G9%</f>
        <v>0</v>
      </c>
      <c r="E16" s="537">
        <f>N50</f>
        <v>0</v>
      </c>
      <c r="F16" s="537"/>
      <c r="G16" s="438">
        <f>D16-E16</f>
        <v>0</v>
      </c>
      <c r="H16" s="147"/>
      <c r="I16" s="185"/>
      <c r="J16" s="482"/>
      <c r="K16" s="485"/>
      <c r="L16" s="488"/>
      <c r="M16" s="488"/>
      <c r="N16" s="488"/>
      <c r="O16" s="558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</row>
    <row r="17" spans="1:26" ht="3.75" customHeight="1" x14ac:dyDescent="0.2">
      <c r="A17" s="167"/>
      <c r="B17" s="29"/>
      <c r="C17" s="29"/>
      <c r="D17" s="29"/>
      <c r="E17" s="29"/>
      <c r="F17" s="29"/>
      <c r="G17" s="29"/>
      <c r="H17" s="29"/>
      <c r="I17" s="35"/>
      <c r="J17" s="482"/>
      <c r="K17" s="485"/>
      <c r="L17" s="488"/>
      <c r="M17" s="488"/>
      <c r="N17" s="488"/>
      <c r="O17" s="558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s="92" customFormat="1" ht="16.899999999999999" customHeight="1" x14ac:dyDescent="0.15">
      <c r="A18" s="162" t="s">
        <v>28</v>
      </c>
      <c r="B18" s="163"/>
      <c r="C18" s="163"/>
      <c r="D18" s="96"/>
      <c r="E18" s="535" t="s">
        <v>29</v>
      </c>
      <c r="F18" s="536"/>
      <c r="G18" s="99" t="s">
        <v>31</v>
      </c>
      <c r="H18" s="86" t="s">
        <v>30</v>
      </c>
      <c r="I18" s="100" t="s">
        <v>233</v>
      </c>
      <c r="J18" s="483"/>
      <c r="K18" s="486"/>
      <c r="L18" s="489"/>
      <c r="M18" s="489"/>
      <c r="N18" s="489"/>
      <c r="O18" s="559"/>
      <c r="P18" s="97"/>
      <c r="V18" s="98"/>
      <c r="W18" s="98"/>
      <c r="X18" s="98"/>
      <c r="Y18" s="97"/>
      <c r="Z18" s="97"/>
    </row>
    <row r="19" spans="1:26" ht="12" customHeight="1" x14ac:dyDescent="0.2">
      <c r="A19" s="633"/>
      <c r="B19" s="634"/>
      <c r="C19" s="634"/>
      <c r="D19" s="423"/>
      <c r="E19" s="418"/>
      <c r="F19" s="424"/>
      <c r="G19" s="360">
        <f>VLOOKUP(A19,A66:F123,5,FALSE)</f>
        <v>0</v>
      </c>
      <c r="H19" s="325">
        <f>IF(E19="",0,IF(A19="",0,IF(E19="Std-ore",ROUND(C$14+C$14*G19,5),IF(E19="Tage-gg.",ROUND(D$14+D$14*G19,5),IF(E19="Monat-mese",ROUND($I$14+$I$14*G19,2))))))</f>
        <v>0</v>
      </c>
      <c r="I19" s="151">
        <f>ROUND(H19*F19,2)</f>
        <v>0</v>
      </c>
      <c r="J19" s="444">
        <v>1</v>
      </c>
      <c r="K19" s="409"/>
      <c r="L19" s="410"/>
      <c r="M19" s="410"/>
      <c r="N19" s="410"/>
      <c r="O19" s="411"/>
      <c r="P19" s="6"/>
      <c r="V19" s="1"/>
      <c r="W19" s="1"/>
      <c r="X19" s="1"/>
      <c r="Y19" s="7"/>
      <c r="Z19" s="6"/>
    </row>
    <row r="20" spans="1:26" ht="12" customHeight="1" x14ac:dyDescent="0.2">
      <c r="A20" s="613"/>
      <c r="B20" s="614"/>
      <c r="C20" s="614"/>
      <c r="D20" s="425"/>
      <c r="E20" s="421"/>
      <c r="F20" s="426"/>
      <c r="G20" s="360">
        <f>VLOOKUP(A20,A67:F124,5,FALSE)</f>
        <v>0</v>
      </c>
      <c r="H20" s="325">
        <f t="shared" ref="H20:H28" si="0">IF(E20="",0,IF(A20="",0,IF(E20="Std-ore",ROUND(C$14+C$14*G20,5),IF(E20="Tage-gg.",ROUND(D$14+D$14*G20,5),IF(E20="Monat-mese",ROUND($I$14+$I$14*G20,2))))))</f>
        <v>0</v>
      </c>
      <c r="I20" s="152">
        <f t="shared" ref="I20:I28" si="1">IF(A20="Abzug Bruttoberechnung Krankengeld INPS",ROUND(I19*G20,2),ROUND(H20*F20,2))</f>
        <v>0</v>
      </c>
      <c r="J20" s="445">
        <v>2</v>
      </c>
      <c r="K20" s="412"/>
      <c r="L20" s="413"/>
      <c r="M20" s="413"/>
      <c r="N20" s="413"/>
      <c r="O20" s="414"/>
      <c r="P20" s="6"/>
      <c r="V20" s="28"/>
      <c r="W20" s="6"/>
    </row>
    <row r="21" spans="1:26" ht="12" customHeight="1" x14ac:dyDescent="0.2">
      <c r="A21" s="613"/>
      <c r="B21" s="614"/>
      <c r="C21" s="614"/>
      <c r="D21" s="425"/>
      <c r="E21" s="421"/>
      <c r="F21" s="426"/>
      <c r="G21" s="360">
        <f>VLOOKUP(A21,A66:F123,5,FALSE)</f>
        <v>0</v>
      </c>
      <c r="H21" s="325">
        <f t="shared" si="0"/>
        <v>0</v>
      </c>
      <c r="I21" s="152">
        <f t="shared" si="1"/>
        <v>0</v>
      </c>
      <c r="J21" s="445">
        <v>3</v>
      </c>
      <c r="K21" s="412"/>
      <c r="L21" s="413"/>
      <c r="M21" s="413"/>
      <c r="N21" s="413"/>
      <c r="O21" s="414"/>
      <c r="P21" s="6"/>
      <c r="V21" s="28"/>
      <c r="W21" s="6"/>
    </row>
    <row r="22" spans="1:26" ht="12" customHeight="1" x14ac:dyDescent="0.2">
      <c r="A22" s="613"/>
      <c r="B22" s="614"/>
      <c r="C22" s="614"/>
      <c r="D22" s="425"/>
      <c r="E22" s="421"/>
      <c r="F22" s="426"/>
      <c r="G22" s="360">
        <f>VLOOKUP(A22,A67:F124,5,FALSE)</f>
        <v>0</v>
      </c>
      <c r="H22" s="325">
        <f>IF(E22="",0,IF(A22="",0,IF(E22="Std-ore",ROUND(C$14+C$14*G22,5),IF(E22="Tage-gg.",ROUND(D$14+D$14*G22,5),IF(E22="Monat-mese",ROUND($I$14+$I$14*G22,2))))))</f>
        <v>0</v>
      </c>
      <c r="I22" s="152">
        <f t="shared" si="1"/>
        <v>0</v>
      </c>
      <c r="J22" s="445">
        <v>4</v>
      </c>
      <c r="K22" s="412"/>
      <c r="L22" s="413"/>
      <c r="M22" s="413"/>
      <c r="N22" s="413"/>
      <c r="O22" s="414"/>
      <c r="P22" s="6"/>
      <c r="V22" s="28"/>
      <c r="W22" s="6"/>
    </row>
    <row r="23" spans="1:26" ht="12" customHeight="1" x14ac:dyDescent="0.2">
      <c r="A23" s="613"/>
      <c r="B23" s="614"/>
      <c r="C23" s="614"/>
      <c r="D23" s="425"/>
      <c r="E23" s="421"/>
      <c r="F23" s="426"/>
      <c r="G23" s="360">
        <f>VLOOKUP(A23,A67:F124,5,FALSE)</f>
        <v>0</v>
      </c>
      <c r="H23" s="325">
        <f>IF(E23="",0,IF(A23="",0,IF(E23="Std-ore",ROUND(C$14+C$14*G23,5),IF(E23="Tage-gg.",ROUND(D$14+D$14*G23,5),IF(E23="Monat-mese",ROUND($I$14+$I$14*G23,2))))))</f>
        <v>0</v>
      </c>
      <c r="I23" s="152">
        <f t="shared" si="1"/>
        <v>0</v>
      </c>
      <c r="J23" s="445">
        <v>5</v>
      </c>
      <c r="K23" s="412"/>
      <c r="L23" s="413"/>
      <c r="M23" s="413"/>
      <c r="N23" s="413"/>
      <c r="O23" s="414"/>
      <c r="P23" s="6"/>
      <c r="V23" s="28"/>
      <c r="W23" s="6"/>
    </row>
    <row r="24" spans="1:26" ht="12" customHeight="1" x14ac:dyDescent="0.2">
      <c r="A24" s="613"/>
      <c r="B24" s="614"/>
      <c r="C24" s="614"/>
      <c r="D24" s="425"/>
      <c r="E24" s="421"/>
      <c r="F24" s="426"/>
      <c r="G24" s="360">
        <f>VLOOKUP(A24,A68:F125,5,FALSE)</f>
        <v>0</v>
      </c>
      <c r="H24" s="325">
        <f t="shared" si="0"/>
        <v>0</v>
      </c>
      <c r="I24" s="152">
        <f t="shared" si="1"/>
        <v>0</v>
      </c>
      <c r="J24" s="445">
        <v>6</v>
      </c>
      <c r="K24" s="412"/>
      <c r="L24" s="413"/>
      <c r="M24" s="413"/>
      <c r="N24" s="413"/>
      <c r="O24" s="414"/>
      <c r="P24" s="6"/>
      <c r="V24" s="28"/>
      <c r="W24" s="6"/>
    </row>
    <row r="25" spans="1:26" ht="12" customHeight="1" x14ac:dyDescent="0.2">
      <c r="A25" s="613"/>
      <c r="B25" s="614"/>
      <c r="C25" s="614"/>
      <c r="D25" s="425"/>
      <c r="E25" s="421"/>
      <c r="F25" s="426"/>
      <c r="G25" s="360">
        <f>VLOOKUP(A25,A71:F126,5,FALSE)</f>
        <v>0</v>
      </c>
      <c r="H25" s="325">
        <f t="shared" si="0"/>
        <v>0</v>
      </c>
      <c r="I25" s="152">
        <f t="shared" si="1"/>
        <v>0</v>
      </c>
      <c r="J25" s="445">
        <v>7</v>
      </c>
      <c r="K25" s="412"/>
      <c r="L25" s="413"/>
      <c r="M25" s="413"/>
      <c r="N25" s="413"/>
      <c r="O25" s="414"/>
      <c r="P25" s="6"/>
      <c r="W25" s="6"/>
    </row>
    <row r="26" spans="1:26" ht="12" customHeight="1" x14ac:dyDescent="0.2">
      <c r="A26" s="613"/>
      <c r="B26" s="614"/>
      <c r="C26" s="614"/>
      <c r="D26" s="425"/>
      <c r="E26" s="421"/>
      <c r="F26" s="426"/>
      <c r="G26" s="360">
        <f>VLOOKUP(A26,A72:F127,5,FALSE)</f>
        <v>0</v>
      </c>
      <c r="H26" s="325">
        <f t="shared" si="0"/>
        <v>0</v>
      </c>
      <c r="I26" s="152">
        <f t="shared" si="1"/>
        <v>0</v>
      </c>
      <c r="J26" s="445">
        <v>8</v>
      </c>
      <c r="K26" s="412"/>
      <c r="L26" s="413"/>
      <c r="M26" s="413"/>
      <c r="N26" s="413"/>
      <c r="O26" s="414"/>
      <c r="P26" s="6"/>
      <c r="W26" s="6"/>
    </row>
    <row r="27" spans="1:26" ht="12" customHeight="1" x14ac:dyDescent="0.2">
      <c r="A27" s="613"/>
      <c r="B27" s="614"/>
      <c r="C27" s="614"/>
      <c r="D27" s="425"/>
      <c r="E27" s="421"/>
      <c r="F27" s="426"/>
      <c r="G27" s="360">
        <f>VLOOKUP(A27,A73:F128,5,FALSE)</f>
        <v>0</v>
      </c>
      <c r="H27" s="325">
        <f t="shared" si="0"/>
        <v>0</v>
      </c>
      <c r="I27" s="152">
        <f t="shared" si="1"/>
        <v>0</v>
      </c>
      <c r="J27" s="445">
        <v>9</v>
      </c>
      <c r="K27" s="412"/>
      <c r="L27" s="413"/>
      <c r="M27" s="413"/>
      <c r="N27" s="413"/>
      <c r="O27" s="414"/>
      <c r="P27" s="6"/>
    </row>
    <row r="28" spans="1:26" ht="12" customHeight="1" x14ac:dyDescent="0.2">
      <c r="A28" s="613"/>
      <c r="B28" s="614"/>
      <c r="C28" s="614"/>
      <c r="D28" s="425"/>
      <c r="E28" s="421"/>
      <c r="F28" s="426"/>
      <c r="G28" s="360">
        <f>VLOOKUP(A28,A74:F129,5,FALSE)</f>
        <v>0</v>
      </c>
      <c r="H28" s="325">
        <f t="shared" si="0"/>
        <v>0</v>
      </c>
      <c r="I28" s="152">
        <f t="shared" si="1"/>
        <v>0</v>
      </c>
      <c r="J28" s="445">
        <v>10</v>
      </c>
      <c r="K28" s="412"/>
      <c r="L28" s="413"/>
      <c r="M28" s="413"/>
      <c r="N28" s="413"/>
      <c r="O28" s="414"/>
      <c r="P28" s="6"/>
    </row>
    <row r="29" spans="1:26" ht="12" customHeight="1" x14ac:dyDescent="0.2">
      <c r="A29" s="119" t="s">
        <v>109</v>
      </c>
      <c r="B29" s="57"/>
      <c r="C29" s="57"/>
      <c r="D29" s="57"/>
      <c r="E29" s="57"/>
      <c r="F29" s="58"/>
      <c r="G29" s="57"/>
      <c r="H29" s="57"/>
      <c r="I29" s="154">
        <f>SUM(I19:I28)</f>
        <v>0</v>
      </c>
      <c r="J29" s="445">
        <v>11</v>
      </c>
      <c r="K29" s="412"/>
      <c r="L29" s="413"/>
      <c r="M29" s="413"/>
      <c r="N29" s="415"/>
      <c r="O29" s="416"/>
      <c r="P29" s="9"/>
    </row>
    <row r="30" spans="1:26" ht="12" customHeight="1" x14ac:dyDescent="0.2">
      <c r="A30" s="211" t="s">
        <v>236</v>
      </c>
      <c r="B30" s="55"/>
      <c r="C30" s="59"/>
      <c r="D30" s="59"/>
      <c r="E30" s="59"/>
      <c r="F30" s="102" t="s">
        <v>55</v>
      </c>
      <c r="G30" s="73">
        <f>ROUND(I29,0)</f>
        <v>0</v>
      </c>
      <c r="H30" s="164">
        <f>'[1]Mit-1'!$C$21</f>
        <v>9.1899999999999996E-2</v>
      </c>
      <c r="I30" s="151">
        <f>-ROUND(G30*H30,2)</f>
        <v>0</v>
      </c>
      <c r="J30" s="445">
        <v>12</v>
      </c>
      <c r="K30" s="412"/>
      <c r="L30" s="413"/>
      <c r="M30" s="413"/>
      <c r="N30" s="413"/>
      <c r="O30" s="414"/>
      <c r="P30" s="1"/>
      <c r="Z30" s="1"/>
    </row>
    <row r="31" spans="1:26" ht="12" customHeight="1" x14ac:dyDescent="0.2">
      <c r="A31" s="104" t="s">
        <v>237</v>
      </c>
      <c r="B31" s="61"/>
      <c r="C31" s="62"/>
      <c r="D31" s="62"/>
      <c r="E31" s="62"/>
      <c r="F31" s="103" t="s">
        <v>55</v>
      </c>
      <c r="G31" s="60">
        <f>ROUND(I29,2)</f>
        <v>0</v>
      </c>
      <c r="H31" s="165">
        <f>VLOOKUP($P$3,'[1]Mit-1'!$A$5:$U$19,19,FALSE)</f>
        <v>1.23E-2</v>
      </c>
      <c r="I31" s="152">
        <f>-ROUND(G31*H31,2)</f>
        <v>0</v>
      </c>
      <c r="J31" s="445">
        <v>13</v>
      </c>
      <c r="K31" s="412"/>
      <c r="L31" s="413"/>
      <c r="M31" s="413"/>
      <c r="N31" s="413"/>
      <c r="O31" s="414"/>
      <c r="P31" s="1"/>
      <c r="Z31" s="1"/>
    </row>
    <row r="32" spans="1:26" ht="12" customHeight="1" x14ac:dyDescent="0.2">
      <c r="A32" s="104" t="s">
        <v>234</v>
      </c>
      <c r="B32" s="61"/>
      <c r="C32" s="62"/>
      <c r="D32" s="62"/>
      <c r="E32" s="62"/>
      <c r="F32" s="103" t="s">
        <v>55</v>
      </c>
      <c r="G32" s="327">
        <f>IF(I29=0,0,IF(R9&gt;0,SUM(A12:B12)/T9*R9,SUM(A12:B12)))</f>
        <v>0</v>
      </c>
      <c r="H32" s="165">
        <f>'[1]Mit-1'!$I$21</f>
        <v>1E-3</v>
      </c>
      <c r="I32" s="152">
        <f>-ROUND(G32*H32,2)</f>
        <v>0</v>
      </c>
      <c r="J32" s="445">
        <v>14</v>
      </c>
      <c r="K32" s="412"/>
      <c r="L32" s="413"/>
      <c r="M32" s="413"/>
      <c r="N32" s="413"/>
      <c r="O32" s="414"/>
      <c r="P32" s="1"/>
      <c r="Z32" s="1"/>
    </row>
    <row r="33" spans="1:26" ht="12" customHeight="1" x14ac:dyDescent="0.2">
      <c r="A33" s="104" t="s">
        <v>235</v>
      </c>
      <c r="B33" s="61"/>
      <c r="C33" s="62"/>
      <c r="D33" s="62"/>
      <c r="E33" s="62"/>
      <c r="F33" s="103" t="s">
        <v>55</v>
      </c>
      <c r="G33" s="60">
        <f>G30</f>
        <v>0</v>
      </c>
      <c r="H33" s="165">
        <f>'[1]Mit-1'!$I$23</f>
        <v>4.0000000000000001E-3</v>
      </c>
      <c r="I33" s="152">
        <f>-ROUND(G33*H33,2)</f>
        <v>0</v>
      </c>
      <c r="J33" s="445">
        <v>15</v>
      </c>
      <c r="K33" s="412"/>
      <c r="L33" s="413"/>
      <c r="M33" s="413"/>
      <c r="N33" s="413"/>
      <c r="O33" s="414"/>
      <c r="P33" s="1"/>
      <c r="Z33" s="1"/>
    </row>
    <row r="34" spans="1:26" ht="12" customHeight="1" x14ac:dyDescent="0.2">
      <c r="A34" s="104" t="s">
        <v>258</v>
      </c>
      <c r="B34" s="61"/>
      <c r="C34" s="62"/>
      <c r="D34" s="62"/>
      <c r="E34" s="62"/>
      <c r="F34" s="394"/>
      <c r="G34" s="52"/>
      <c r="H34" s="395"/>
      <c r="I34" s="152">
        <f>-IF(I29=0,0,'[1]Mit-1'!$I$25)</f>
        <v>0</v>
      </c>
      <c r="J34" s="445">
        <v>16</v>
      </c>
      <c r="K34" s="412"/>
      <c r="L34" s="413"/>
      <c r="M34" s="413"/>
      <c r="N34" s="413"/>
      <c r="O34" s="414"/>
      <c r="P34" s="1"/>
      <c r="Z34" s="1"/>
    </row>
    <row r="35" spans="1:26" ht="12" customHeight="1" x14ac:dyDescent="0.2">
      <c r="A35" s="104" t="s">
        <v>110</v>
      </c>
      <c r="B35" s="10"/>
      <c r="C35" s="10"/>
      <c r="D35" s="10"/>
      <c r="E35" s="10"/>
      <c r="F35" s="10"/>
      <c r="G35" s="11"/>
      <c r="H35" s="63"/>
      <c r="I35" s="152">
        <f ca="1">-SUMIF($A$19:$C$28,"Krankheit INPS-Anteil*",$I$19:$I$28)</f>
        <v>0</v>
      </c>
      <c r="J35" s="445">
        <v>17</v>
      </c>
      <c r="K35" s="412"/>
      <c r="L35" s="413"/>
      <c r="M35" s="413"/>
      <c r="N35" s="413"/>
      <c r="O35" s="414"/>
      <c r="P35" s="6"/>
      <c r="Y35" s="6"/>
      <c r="Z35" s="6"/>
    </row>
    <row r="36" spans="1:26" ht="12" customHeight="1" x14ac:dyDescent="0.2">
      <c r="A36" s="104" t="s">
        <v>111</v>
      </c>
      <c r="B36" s="10"/>
      <c r="C36" s="10"/>
      <c r="D36" s="10"/>
      <c r="E36" s="10"/>
      <c r="F36" s="10"/>
      <c r="G36" s="11"/>
      <c r="H36" s="63"/>
      <c r="I36" s="152">
        <f ca="1">-SUMIF($A$19:$C$28,"Mutterschaft INPS-Anteil*",$I$19:$I$28)</f>
        <v>0</v>
      </c>
      <c r="J36" s="445">
        <v>18</v>
      </c>
      <c r="K36" s="412"/>
      <c r="L36" s="413"/>
      <c r="M36" s="413"/>
      <c r="N36" s="413"/>
      <c r="O36" s="414"/>
      <c r="P36" s="6"/>
      <c r="Y36" s="6"/>
      <c r="Z36" s="6"/>
    </row>
    <row r="37" spans="1:26" ht="12" customHeight="1" x14ac:dyDescent="0.2">
      <c r="A37" s="105" t="s">
        <v>112</v>
      </c>
      <c r="B37" s="10"/>
      <c r="C37" s="10"/>
      <c r="D37" s="10"/>
      <c r="E37" s="10"/>
      <c r="F37" s="10"/>
      <c r="G37" s="11"/>
      <c r="H37" s="52">
        <f>ROUND(IF(I29=0,0,VLOOKUP($P$3,'[1]Mit-1'!$A$5:$AD$19,12,FALSE)),2)</f>
        <v>0</v>
      </c>
      <c r="I37" s="439"/>
      <c r="J37" s="445">
        <v>19</v>
      </c>
      <c r="K37" s="412"/>
      <c r="L37" s="413"/>
      <c r="M37" s="413"/>
      <c r="N37" s="413"/>
      <c r="O37" s="414"/>
      <c r="P37" s="6"/>
      <c r="Y37" s="6"/>
      <c r="Z37" s="6"/>
    </row>
    <row r="38" spans="1:26" ht="12" customHeight="1" x14ac:dyDescent="0.2">
      <c r="A38" s="107" t="s">
        <v>113</v>
      </c>
      <c r="B38" s="10"/>
      <c r="C38" s="10"/>
      <c r="D38" s="10"/>
      <c r="E38" s="10"/>
      <c r="F38" s="10"/>
      <c r="G38" s="11"/>
      <c r="H38" s="237">
        <f ca="1">IF(SUM(I29:I37)-H37&lt;0,0,SUM(I29:I36)-H37)</f>
        <v>0</v>
      </c>
      <c r="I38" s="160"/>
      <c r="J38" s="445">
        <v>20</v>
      </c>
      <c r="K38" s="412"/>
      <c r="L38" s="413"/>
      <c r="M38" s="413"/>
      <c r="N38" s="413"/>
      <c r="O38" s="414"/>
      <c r="P38" s="6"/>
      <c r="Y38" s="6"/>
      <c r="Z38" s="6"/>
    </row>
    <row r="39" spans="1:26" ht="12" customHeight="1" x14ac:dyDescent="0.2">
      <c r="A39" s="211" t="s">
        <v>143</v>
      </c>
      <c r="B39" s="14"/>
      <c r="C39" s="14"/>
      <c r="D39" s="14"/>
      <c r="E39" s="14"/>
      <c r="F39" s="14"/>
      <c r="G39" s="14"/>
      <c r="H39" s="239">
        <f ca="1">-U50</f>
        <v>0</v>
      </c>
      <c r="I39" s="159"/>
      <c r="J39" s="445">
        <v>21</v>
      </c>
      <c r="K39" s="412"/>
      <c r="L39" s="413"/>
      <c r="M39" s="413"/>
      <c r="N39" s="413"/>
      <c r="O39" s="414"/>
      <c r="P39" s="6"/>
      <c r="R39" s="216"/>
      <c r="V39" s="6"/>
      <c r="W39" s="6"/>
      <c r="X39" s="6"/>
      <c r="Y39" s="6"/>
      <c r="Z39" s="6"/>
    </row>
    <row r="40" spans="1:26" ht="12" customHeight="1" x14ac:dyDescent="0.2">
      <c r="A40" s="104" t="s">
        <v>144</v>
      </c>
      <c r="B40" s="10"/>
      <c r="C40" s="10"/>
      <c r="D40" s="10"/>
      <c r="E40" s="10"/>
      <c r="F40" s="10"/>
      <c r="G40" s="10"/>
      <c r="H40" s="242">
        <f>ROUND(IF(I29=0,0,VLOOKUP($P$3,'[1]Mit-1'!$A$5:$AB$19,13,FALSE)/[1]Firma!$B$24*IF(R9=0,T9,R9)),2)</f>
        <v>0</v>
      </c>
      <c r="I40" s="156"/>
      <c r="J40" s="445">
        <v>22</v>
      </c>
      <c r="K40" s="412"/>
      <c r="L40" s="413"/>
      <c r="M40" s="413"/>
      <c r="N40" s="413"/>
      <c r="O40" s="414"/>
      <c r="P40" s="6"/>
      <c r="Q40" s="220"/>
      <c r="R40" s="216"/>
      <c r="S40" s="217"/>
      <c r="T40" s="218"/>
      <c r="U40" s="219"/>
      <c r="V40" s="6"/>
      <c r="W40" s="6"/>
      <c r="X40" s="6"/>
      <c r="Y40" s="6"/>
      <c r="Z40" s="6"/>
    </row>
    <row r="41" spans="1:26" ht="12" customHeight="1" x14ac:dyDescent="0.2">
      <c r="A41" s="110" t="s">
        <v>145</v>
      </c>
      <c r="B41" s="221"/>
      <c r="C41" s="221"/>
      <c r="D41" s="221"/>
      <c r="E41" s="221"/>
      <c r="F41" s="221"/>
      <c r="G41" s="221"/>
      <c r="H41" s="242">
        <f>ROUND(IF(I29=0,0,VLOOKUP($P$3,'[1]Mit-2'!$A$46:$P$60,3,FALSE)/12),2)</f>
        <v>0</v>
      </c>
      <c r="I41" s="286"/>
      <c r="J41" s="445">
        <v>23</v>
      </c>
      <c r="K41" s="412"/>
      <c r="L41" s="413"/>
      <c r="M41" s="413"/>
      <c r="N41" s="413"/>
      <c r="O41" s="414"/>
      <c r="P41" s="6"/>
      <c r="Q41" s="492" t="s">
        <v>4</v>
      </c>
      <c r="R41" s="493"/>
      <c r="S41" s="494" t="s">
        <v>7</v>
      </c>
      <c r="T41" s="498" t="s">
        <v>5</v>
      </c>
      <c r="U41" s="490" t="s">
        <v>2</v>
      </c>
      <c r="V41" s="6"/>
      <c r="W41" s="6"/>
      <c r="X41" s="6"/>
      <c r="Y41" s="6"/>
      <c r="Z41" s="6"/>
    </row>
    <row r="42" spans="1:26" ht="12" customHeight="1" x14ac:dyDescent="0.2">
      <c r="A42" s="108" t="s">
        <v>146</v>
      </c>
      <c r="B42" s="64"/>
      <c r="C42" s="64"/>
      <c r="D42" s="64"/>
      <c r="E42" s="64"/>
      <c r="F42" s="64"/>
      <c r="G42" s="64"/>
      <c r="H42" s="65"/>
      <c r="I42" s="157">
        <f ca="1">ROUND(IF(SUM(H39:H41)&gt;=0,0,SUM(H39:H41)),2)</f>
        <v>0</v>
      </c>
      <c r="J42" s="445">
        <v>24</v>
      </c>
      <c r="K42" s="412"/>
      <c r="L42" s="413"/>
      <c r="M42" s="413"/>
      <c r="N42" s="413"/>
      <c r="O42" s="414"/>
      <c r="P42" s="6"/>
      <c r="Q42" s="529"/>
      <c r="R42" s="530"/>
      <c r="S42" s="532"/>
      <c r="T42" s="531"/>
      <c r="U42" s="528"/>
      <c r="V42" s="6"/>
      <c r="W42" s="6"/>
      <c r="X42" s="6"/>
      <c r="Y42" s="6"/>
      <c r="Z42" s="6"/>
    </row>
    <row r="43" spans="1:26" ht="12" customHeight="1" x14ac:dyDescent="0.2">
      <c r="A43" s="106" t="s">
        <v>141</v>
      </c>
      <c r="B43" s="212"/>
      <c r="C43" s="10"/>
      <c r="D43" s="213"/>
      <c r="E43" s="574"/>
      <c r="F43" s="575"/>
      <c r="G43" s="214"/>
      <c r="H43" s="215" t="s">
        <v>33</v>
      </c>
      <c r="I43" s="151"/>
      <c r="J43" s="445">
        <v>25</v>
      </c>
      <c r="K43" s="412"/>
      <c r="L43" s="413"/>
      <c r="M43" s="413"/>
      <c r="N43" s="413"/>
      <c r="O43" s="414"/>
      <c r="P43" s="6"/>
      <c r="Q43" s="81" t="s">
        <v>0</v>
      </c>
      <c r="R43" s="82" t="s">
        <v>1</v>
      </c>
      <c r="S43" s="495"/>
      <c r="T43" s="499"/>
      <c r="U43" s="491"/>
      <c r="V43" s="6"/>
      <c r="W43" s="6"/>
      <c r="X43" s="6"/>
      <c r="Y43" s="6"/>
      <c r="Z43" s="6"/>
    </row>
    <row r="44" spans="1:26" ht="12" customHeight="1" x14ac:dyDescent="0.2">
      <c r="A44" s="104" t="s">
        <v>114</v>
      </c>
      <c r="B44" s="15"/>
      <c r="C44" s="8"/>
      <c r="D44" s="16"/>
      <c r="E44" s="582"/>
      <c r="F44" s="583"/>
      <c r="G44" s="17"/>
      <c r="H44" s="407"/>
      <c r="I44" s="158">
        <f>-H44</f>
        <v>0</v>
      </c>
      <c r="J44" s="445">
        <v>26</v>
      </c>
      <c r="K44" s="412"/>
      <c r="L44" s="413"/>
      <c r="M44" s="413"/>
      <c r="N44" s="413"/>
      <c r="O44" s="414"/>
      <c r="P44" s="6"/>
      <c r="Q44" s="78">
        <f>[1]Tab!E8</f>
        <v>0</v>
      </c>
      <c r="R44" s="74">
        <f>[1]Tab!F8</f>
        <v>1250</v>
      </c>
      <c r="S44" s="75">
        <f>[1]Tab!G8</f>
        <v>0.23</v>
      </c>
      <c r="T44" s="76">
        <f>ROUND(R44*S44,2)</f>
        <v>287.5</v>
      </c>
      <c r="U44" s="76">
        <f ca="1">ROUND(IF(AND($H$38&lt;=R44,$H$38&gt;0),$H$38*S44,0),2)</f>
        <v>0</v>
      </c>
      <c r="V44" s="6"/>
      <c r="W44" s="6"/>
      <c r="X44" s="6"/>
      <c r="Y44" s="6"/>
      <c r="Z44" s="6"/>
    </row>
    <row r="45" spans="1:26" s="1" customFormat="1" ht="12" customHeight="1" x14ac:dyDescent="0.2">
      <c r="A45" s="110" t="s">
        <v>115</v>
      </c>
      <c r="B45" s="18"/>
      <c r="C45" s="111"/>
      <c r="D45" s="19"/>
      <c r="E45" s="582"/>
      <c r="F45" s="583"/>
      <c r="G45" s="20"/>
      <c r="H45" s="24">
        <f>IF(I29=0,0,VLOOKUP($P$3,'[1]Mit-2'!$A$65:$P$79,3,FALSE))</f>
        <v>0</v>
      </c>
      <c r="I45" s="155"/>
      <c r="J45" s="445">
        <v>27</v>
      </c>
      <c r="K45" s="412"/>
      <c r="L45" s="413"/>
      <c r="M45" s="413"/>
      <c r="N45" s="413"/>
      <c r="O45" s="414"/>
      <c r="P45" s="6"/>
      <c r="Q45" s="78">
        <f>[1]Tab!E9</f>
        <v>1250.01</v>
      </c>
      <c r="R45" s="74">
        <f>[1]Tab!F9</f>
        <v>2333.33</v>
      </c>
      <c r="S45" s="75">
        <f>[1]Tab!G9</f>
        <v>0.23</v>
      </c>
      <c r="T45" s="76">
        <f>ROUND((R45-Q45)*S45+T44,2)</f>
        <v>536.66</v>
      </c>
      <c r="U45" s="76">
        <f ca="1">ROUND(IF(AND($H$38&lt;=R45,$H$38&gt;=Q45),T44+($H$38-R44)*S45,0),2)</f>
        <v>0</v>
      </c>
      <c r="V45" s="6"/>
      <c r="W45" s="6"/>
      <c r="X45" s="6"/>
      <c r="Y45" s="6"/>
      <c r="Z45" s="6"/>
    </row>
    <row r="46" spans="1:26" ht="12" customHeight="1" x14ac:dyDescent="0.2">
      <c r="A46" s="101" t="s">
        <v>142</v>
      </c>
      <c r="B46" s="13"/>
      <c r="C46" s="14"/>
      <c r="D46" s="12"/>
      <c r="E46" s="580"/>
      <c r="F46" s="581"/>
      <c r="G46" s="112"/>
      <c r="H46" s="113" t="s">
        <v>33</v>
      </c>
      <c r="I46" s="151"/>
      <c r="J46" s="445">
        <v>28</v>
      </c>
      <c r="K46" s="412"/>
      <c r="L46" s="413"/>
      <c r="M46" s="413"/>
      <c r="N46" s="413"/>
      <c r="O46" s="414"/>
      <c r="P46" s="6"/>
      <c r="Q46" s="78">
        <f>[1]Tab!E10</f>
        <v>2333.34</v>
      </c>
      <c r="R46" s="74">
        <f>[1]Tab!F10</f>
        <v>4166.67</v>
      </c>
      <c r="S46" s="75">
        <f>[1]Tab!G10</f>
        <v>0.35</v>
      </c>
      <c r="T46" s="76">
        <f>ROUND((R46-Q46)*S46+T45,2)</f>
        <v>1178.33</v>
      </c>
      <c r="U46" s="76">
        <f ca="1">ROUND(IF(AND($H$38&lt;=R46,$H$38&gt;=Q46),T45+($H$38-R45)*S46,0),2)</f>
        <v>0</v>
      </c>
      <c r="V46" s="6"/>
      <c r="W46" s="6"/>
      <c r="X46" s="6"/>
      <c r="Y46" s="6"/>
      <c r="Z46" s="6"/>
    </row>
    <row r="47" spans="1:26" ht="12" customHeight="1" x14ac:dyDescent="0.2">
      <c r="A47" s="104" t="s">
        <v>114</v>
      </c>
      <c r="B47" s="15"/>
      <c r="C47" s="8"/>
      <c r="D47" s="16"/>
      <c r="E47" s="582"/>
      <c r="F47" s="583"/>
      <c r="G47" s="17"/>
      <c r="H47" s="407"/>
      <c r="I47" s="152">
        <f>-H47</f>
        <v>0</v>
      </c>
      <c r="J47" s="445">
        <v>29</v>
      </c>
      <c r="K47" s="412"/>
      <c r="L47" s="413"/>
      <c r="M47" s="413"/>
      <c r="N47" s="413"/>
      <c r="O47" s="414"/>
      <c r="P47" s="1"/>
      <c r="Q47" s="78">
        <f>[1]Tab!E11</f>
        <v>4166.68</v>
      </c>
      <c r="R47" s="74">
        <f>[1]Tab!F11</f>
        <v>0</v>
      </c>
      <c r="S47" s="75">
        <f>[1]Tab!G11</f>
        <v>0.43</v>
      </c>
      <c r="T47" s="76"/>
      <c r="U47" s="76">
        <f ca="1">ROUND(IF(AND($H$38&lt;=R47,$H$38&gt;=Q47),T46+($H$38-R46)*S47,0),2)</f>
        <v>0</v>
      </c>
      <c r="V47" s="1"/>
      <c r="W47" s="1"/>
      <c r="X47" s="1"/>
      <c r="Y47" s="1"/>
      <c r="Z47" s="1"/>
    </row>
    <row r="48" spans="1:26" ht="12" customHeight="1" x14ac:dyDescent="0.2">
      <c r="A48" s="224" t="s">
        <v>115</v>
      </c>
      <c r="B48" s="225"/>
      <c r="C48" s="226"/>
      <c r="D48" s="227"/>
      <c r="E48" s="590"/>
      <c r="F48" s="591"/>
      <c r="G48" s="228"/>
      <c r="H48" s="339">
        <f>IF(I29=0,0,VLOOKUP($P$3,'[1]Mit-2'!$A$65:$AD$79,3,FALSE))</f>
        <v>0</v>
      </c>
      <c r="I48" s="155"/>
      <c r="J48" s="445">
        <v>30</v>
      </c>
      <c r="K48" s="412"/>
      <c r="L48" s="413"/>
      <c r="M48" s="413"/>
      <c r="N48" s="413"/>
      <c r="O48" s="414"/>
      <c r="P48" s="1"/>
      <c r="Q48" s="78">
        <f>[1]Tab!E12</f>
        <v>0</v>
      </c>
      <c r="R48" s="74"/>
      <c r="S48" s="75">
        <f>[1]Tab!G12</f>
        <v>0</v>
      </c>
      <c r="T48" s="77"/>
      <c r="U48" s="76">
        <f ca="1">ROUND(IF($H$38&gt;R47,T47+($H$38-R47)*S48,0),2)</f>
        <v>0</v>
      </c>
      <c r="V48" s="1"/>
      <c r="W48" s="1"/>
      <c r="X48" s="1"/>
      <c r="Y48" s="1"/>
      <c r="Z48" s="1"/>
    </row>
    <row r="49" spans="1:26" ht="12" customHeight="1" x14ac:dyDescent="0.2">
      <c r="A49" s="110" t="s">
        <v>147</v>
      </c>
      <c r="B49" s="231"/>
      <c r="C49" s="232">
        <f>H48</f>
        <v>0</v>
      </c>
      <c r="D49" s="233">
        <f>ROUND(C49*B49,2)</f>
        <v>0</v>
      </c>
      <c r="E49" s="598"/>
      <c r="F49" s="599"/>
      <c r="G49" s="234"/>
      <c r="H49" s="235"/>
      <c r="I49" s="153"/>
      <c r="J49" s="446">
        <v>31</v>
      </c>
      <c r="K49" s="412"/>
      <c r="L49" s="413"/>
      <c r="M49" s="413"/>
      <c r="N49" s="413"/>
      <c r="O49" s="414"/>
      <c r="P49" s="1"/>
      <c r="Q49" s="78">
        <f>[1]Tab!E13</f>
        <v>0</v>
      </c>
      <c r="R49" s="74"/>
      <c r="S49" s="75">
        <f>[1]Tab!G13</f>
        <v>0</v>
      </c>
      <c r="T49" s="77"/>
      <c r="U49" s="76">
        <f ca="1">ROUND(IF($H$38&gt;R48,T48+($H$38-R48)*S49,0),2)</f>
        <v>0</v>
      </c>
      <c r="V49" s="1"/>
      <c r="W49" s="1"/>
      <c r="X49" s="1"/>
      <c r="Y49" s="1"/>
      <c r="Z49" s="1"/>
    </row>
    <row r="50" spans="1:26" ht="12" customHeight="1" x14ac:dyDescent="0.2">
      <c r="A50" s="109" t="s">
        <v>139</v>
      </c>
      <c r="B50" s="21"/>
      <c r="C50" s="114" t="s">
        <v>34</v>
      </c>
      <c r="D50" s="114" t="s">
        <v>160</v>
      </c>
      <c r="E50" s="509" t="s">
        <v>161</v>
      </c>
      <c r="F50" s="510"/>
      <c r="G50" s="114" t="s">
        <v>162</v>
      </c>
      <c r="H50" s="230" t="s">
        <v>36</v>
      </c>
      <c r="I50" s="156"/>
      <c r="J50" s="311"/>
      <c r="K50" s="500">
        <f>SUM(K19:K49)</f>
        <v>0</v>
      </c>
      <c r="L50" s="496">
        <f>SUM(L19:L49)</f>
        <v>0</v>
      </c>
      <c r="M50" s="496">
        <f>SUM(M19:M49)</f>
        <v>0</v>
      </c>
      <c r="N50" s="496"/>
      <c r="O50" s="502">
        <f>SUM(O19:O49)</f>
        <v>0</v>
      </c>
      <c r="P50" s="6"/>
      <c r="Q50" s="208" t="s">
        <v>8</v>
      </c>
      <c r="R50" s="209"/>
      <c r="S50" s="79"/>
      <c r="T50" s="64"/>
      <c r="U50" s="80">
        <f ca="1">ROUND(SUM(U44:U47),2)</f>
        <v>0</v>
      </c>
      <c r="V50" s="6"/>
      <c r="W50" s="6"/>
      <c r="X50" s="6"/>
      <c r="Y50" s="6"/>
      <c r="Z50" s="6"/>
    </row>
    <row r="51" spans="1:26" ht="12" customHeight="1" x14ac:dyDescent="0.2">
      <c r="A51" s="104" t="s">
        <v>117</v>
      </c>
      <c r="B51" s="22"/>
      <c r="C51" s="60">
        <f>IF(I29=0,0,Steuern!J89)</f>
        <v>0</v>
      </c>
      <c r="D51" s="60">
        <f>IF(I29=0,0,Steuern!L89)</f>
        <v>0</v>
      </c>
      <c r="E51" s="511">
        <f>IF(I29=0,0,Steuern!N89)</f>
        <v>0</v>
      </c>
      <c r="F51" s="512"/>
      <c r="G51" s="60">
        <f>IF(I29=0,0,Steuern!P89)</f>
        <v>0</v>
      </c>
      <c r="H51" s="67">
        <f>IF(I29=0,0,Steuern!R89)</f>
        <v>0</v>
      </c>
      <c r="I51" s="156"/>
      <c r="J51" s="309"/>
      <c r="K51" s="501"/>
      <c r="L51" s="497"/>
      <c r="M51" s="497"/>
      <c r="N51" s="497"/>
      <c r="O51" s="503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</row>
    <row r="52" spans="1:26" ht="12" customHeight="1" x14ac:dyDescent="0.2">
      <c r="A52" s="110" t="s">
        <v>138</v>
      </c>
      <c r="B52" s="23"/>
      <c r="C52" s="68">
        <f>IF(I29=0,0,Steuern!J89)</f>
        <v>0</v>
      </c>
      <c r="D52" s="68">
        <f>U60</f>
        <v>0</v>
      </c>
      <c r="E52" s="520">
        <f>IF(I29=0,0,conguaglio!F60)</f>
        <v>0</v>
      </c>
      <c r="F52" s="521"/>
      <c r="G52" s="50">
        <f>IF(I29=0,0,conguaglio!G63)</f>
        <v>0</v>
      </c>
      <c r="H52" s="312">
        <f>IF((D52-E52-G52)&lt;0,0,D52-E52-G52)</f>
        <v>0</v>
      </c>
      <c r="I52" s="153">
        <f>ROUND(IF(G52="",0,H51-H52),2)</f>
        <v>0</v>
      </c>
      <c r="J52" s="504" t="s">
        <v>230</v>
      </c>
      <c r="K52" s="505"/>
      <c r="L52" s="505"/>
      <c r="M52" s="505"/>
      <c r="N52" s="505"/>
      <c r="O52" s="506"/>
      <c r="P52" s="6"/>
      <c r="Q52" s="6"/>
      <c r="R52" s="6"/>
      <c r="S52" s="6"/>
      <c r="T52" s="66"/>
      <c r="U52" s="6"/>
      <c r="V52" s="6"/>
      <c r="W52" s="6"/>
      <c r="X52" s="6"/>
      <c r="Y52" s="6"/>
      <c r="Z52" s="6"/>
    </row>
    <row r="53" spans="1:26" ht="12" customHeight="1" x14ac:dyDescent="0.2">
      <c r="A53" s="119" t="s">
        <v>119</v>
      </c>
      <c r="B53" s="26"/>
      <c r="C53" s="26"/>
      <c r="D53" s="26"/>
      <c r="E53" s="26"/>
      <c r="F53" s="26"/>
      <c r="G53" s="26"/>
      <c r="H53" s="26"/>
      <c r="I53" s="154">
        <f ca="1">SUM(I29:I52)</f>
        <v>0</v>
      </c>
      <c r="J53" s="307"/>
      <c r="O53" s="134"/>
      <c r="P53" s="3"/>
      <c r="Q53" s="492" t="s">
        <v>6</v>
      </c>
      <c r="R53" s="493"/>
      <c r="S53" s="494" t="s">
        <v>7</v>
      </c>
      <c r="T53" s="498" t="s">
        <v>5</v>
      </c>
      <c r="U53" s="490" t="s">
        <v>2</v>
      </c>
      <c r="V53" s="3"/>
      <c r="W53" s="3"/>
      <c r="X53" s="3"/>
      <c r="Y53" s="3"/>
      <c r="Z53" s="3"/>
    </row>
    <row r="54" spans="1:26" ht="12" customHeight="1" x14ac:dyDescent="0.2">
      <c r="A54" s="115" t="s">
        <v>120</v>
      </c>
      <c r="B54" s="95" t="s">
        <v>124</v>
      </c>
      <c r="C54" s="191">
        <f>IF($I$9="",0,VLOOKUP($P$3,'[1]Mit-1'!$A$5:$AD$19,22,FALSE))</f>
        <v>0</v>
      </c>
      <c r="D54" s="95" t="s">
        <v>38</v>
      </c>
      <c r="E54" s="522">
        <f>ROUND(IF($I$9="",0,Steuern!$D$89/13.5),2)</f>
        <v>0</v>
      </c>
      <c r="F54" s="523"/>
      <c r="G54" s="95" t="s">
        <v>40</v>
      </c>
      <c r="H54" s="192">
        <f>IF($I$9="",0,Steuern!$F$89)</f>
        <v>0</v>
      </c>
      <c r="I54" s="398">
        <f>C54+E54-H54</f>
        <v>0</v>
      </c>
      <c r="J54" s="568"/>
      <c r="K54" s="476"/>
      <c r="L54" s="476"/>
      <c r="M54" s="476"/>
      <c r="N54" s="476"/>
      <c r="O54" s="477"/>
      <c r="Q54" s="81" t="s">
        <v>0</v>
      </c>
      <c r="R54" s="82" t="s">
        <v>1</v>
      </c>
      <c r="S54" s="495"/>
      <c r="T54" s="499"/>
      <c r="U54" s="491"/>
      <c r="V54" s="1"/>
      <c r="W54" s="1"/>
      <c r="X54" s="1"/>
    </row>
    <row r="55" spans="1:26" ht="15" customHeight="1" x14ac:dyDescent="0.2">
      <c r="A55" s="116" t="s">
        <v>121</v>
      </c>
      <c r="B55" s="117" t="s">
        <v>37</v>
      </c>
      <c r="C55" s="405"/>
      <c r="D55" s="117" t="s">
        <v>39</v>
      </c>
      <c r="E55" s="524"/>
      <c r="F55" s="525"/>
      <c r="G55" s="117" t="s">
        <v>35</v>
      </c>
      <c r="H55" s="407"/>
      <c r="I55" s="399">
        <f>-(E55-H55)</f>
        <v>0</v>
      </c>
      <c r="J55" s="402"/>
      <c r="K55" s="401"/>
      <c r="L55" s="401"/>
      <c r="M55" s="401"/>
      <c r="N55" s="572"/>
      <c r="O55" s="573"/>
      <c r="Q55" s="78">
        <f>[1]Tab!A8</f>
        <v>0</v>
      </c>
      <c r="R55" s="74">
        <f>[1]Tab!D8</f>
        <v>15000</v>
      </c>
      <c r="S55" s="75">
        <f>S44</f>
        <v>0.23</v>
      </c>
      <c r="T55" s="76">
        <f>ROUND(R55*S55,2)</f>
        <v>3450</v>
      </c>
      <c r="U55" s="76">
        <f>ROUND(IF(AND($C$52&lt;=R55,C52&gt;0),$C$52*S55,0),2)</f>
        <v>0</v>
      </c>
      <c r="V55" s="1"/>
      <c r="W55" s="1"/>
      <c r="X55" s="1"/>
    </row>
    <row r="56" spans="1:26" ht="16.899999999999999" customHeight="1" x14ac:dyDescent="0.2">
      <c r="A56" s="453" t="s">
        <v>122</v>
      </c>
      <c r="B56" s="118" t="s">
        <v>125</v>
      </c>
      <c r="C56" s="454">
        <f>ROUND(C54*'[1]Mit-2'!$P$84%,2)</f>
        <v>0</v>
      </c>
      <c r="D56" s="118" t="s">
        <v>262</v>
      </c>
      <c r="E56" s="520">
        <f>ROUND(C56*[1]Tab!$G$142,2)</f>
        <v>0</v>
      </c>
      <c r="F56" s="521"/>
      <c r="G56" s="455"/>
      <c r="H56" s="456"/>
      <c r="I56" s="153">
        <f>C56-E56</f>
        <v>0</v>
      </c>
      <c r="J56" s="402"/>
      <c r="K56" s="401"/>
      <c r="L56" s="401"/>
      <c r="M56" s="401"/>
      <c r="N56" s="572"/>
      <c r="O56" s="573"/>
      <c r="Q56" s="78">
        <f>[1]Tab!A9</f>
        <v>15000.01</v>
      </c>
      <c r="R56" s="74">
        <f>[1]Tab!D9</f>
        <v>28000</v>
      </c>
      <c r="S56" s="75">
        <f>S45</f>
        <v>0.23</v>
      </c>
      <c r="T56" s="76">
        <f>ROUND((R56-Q56)*S56+T55,2)</f>
        <v>6440</v>
      </c>
      <c r="U56" s="76">
        <f>ROUND(IF(AND($C$52&lt;=R56,$C$52&gt;=Q56),T55+($C$52-R55)*S56,0),2)</f>
        <v>0</v>
      </c>
    </row>
    <row r="57" spans="1:26" ht="12" customHeight="1" x14ac:dyDescent="0.2">
      <c r="A57" s="448" t="s">
        <v>242</v>
      </c>
      <c r="B57" s="449"/>
      <c r="C57" s="449"/>
      <c r="D57" s="450"/>
      <c r="E57" s="518"/>
      <c r="F57" s="518"/>
      <c r="G57" s="450"/>
      <c r="H57" s="451"/>
      <c r="I57" s="452">
        <f ca="1">ROUND(IF(SUM(H39:H40)&gt;=0,0,VLOOKUP($P$3,'[1]Mit-1'!$A$5:$AC$19,20,FALSE)/[1]Firma!$C$24*IF(R9=0,T9,R9)),2)</f>
        <v>0</v>
      </c>
      <c r="J57" s="569"/>
      <c r="K57" s="570"/>
      <c r="L57" s="570"/>
      <c r="M57" s="570"/>
      <c r="N57" s="570"/>
      <c r="O57" s="571"/>
      <c r="P57" s="3"/>
      <c r="Q57" s="78">
        <f>[1]Tab!A10</f>
        <v>28000.01</v>
      </c>
      <c r="R57" s="74">
        <f>[1]Tab!D10</f>
        <v>50000</v>
      </c>
      <c r="S57" s="75">
        <f>S46</f>
        <v>0.35</v>
      </c>
      <c r="T57" s="76">
        <f>ROUND((R57-Q57)*S57+T56,2)</f>
        <v>14140</v>
      </c>
      <c r="U57" s="76">
        <f>ROUND(IF(AND($C$52&lt;=R57,$C$52&gt;=Q57),T56+($C$52-R56)*S57,0),2)</f>
        <v>0</v>
      </c>
      <c r="V57" s="3"/>
      <c r="W57" s="3"/>
      <c r="X57" s="3"/>
      <c r="Y57" s="3"/>
      <c r="Z57" s="3"/>
    </row>
    <row r="58" spans="1:26" ht="12" customHeight="1" x14ac:dyDescent="0.2">
      <c r="A58" s="465"/>
      <c r="B58" s="466"/>
      <c r="C58" s="466"/>
      <c r="D58" s="467"/>
      <c r="E58" s="519"/>
      <c r="F58" s="519"/>
      <c r="G58" s="467"/>
      <c r="H58" s="468"/>
      <c r="I58" s="469"/>
      <c r="J58" s="402"/>
      <c r="K58" s="401"/>
      <c r="L58" s="401"/>
      <c r="M58" s="401"/>
      <c r="N58" s="572"/>
      <c r="O58" s="573"/>
      <c r="P58" s="3"/>
      <c r="Q58" s="78">
        <f>[1]Tab!A11</f>
        <v>50000.01</v>
      </c>
      <c r="R58" s="74">
        <f>[1]Tab!D11</f>
        <v>0</v>
      </c>
      <c r="S58" s="75">
        <f>S47</f>
        <v>0.43</v>
      </c>
      <c r="T58" s="76"/>
      <c r="U58" s="76">
        <f>ROUND(IF(AND($C$52&lt;=R58,$C$52&gt;=Q58),T57+($C$52-R57)*S58,0),2)</f>
        <v>0</v>
      </c>
      <c r="V58" s="3"/>
      <c r="W58" s="3"/>
      <c r="X58" s="3"/>
      <c r="Y58" s="3"/>
      <c r="Z58" s="3"/>
    </row>
    <row r="59" spans="1:26" ht="12" customHeight="1" x14ac:dyDescent="0.2">
      <c r="A59" s="106" t="s">
        <v>123</v>
      </c>
      <c r="B59" s="8"/>
      <c r="C59" s="49"/>
      <c r="D59" s="117" t="s">
        <v>41</v>
      </c>
      <c r="E59" s="576">
        <f>-'13'!H59</f>
        <v>0</v>
      </c>
      <c r="F59" s="577"/>
      <c r="G59" s="117" t="s">
        <v>42</v>
      </c>
      <c r="H59" s="166"/>
      <c r="I59" s="399">
        <f>E59</f>
        <v>0</v>
      </c>
      <c r="J59" s="402"/>
      <c r="K59" s="401"/>
      <c r="L59" s="401"/>
      <c r="M59" s="401"/>
      <c r="N59" s="572"/>
      <c r="O59" s="573"/>
      <c r="P59" s="3"/>
      <c r="Q59" s="78">
        <f>[1]Tab!A12</f>
        <v>0</v>
      </c>
      <c r="R59" s="74"/>
      <c r="S59" s="75">
        <f>S48</f>
        <v>0</v>
      </c>
      <c r="T59" s="77"/>
      <c r="U59" s="76">
        <f>ROUND(IF($C$52&gt;R58,T58+($C$52-R58)*S59,0),2)</f>
        <v>0</v>
      </c>
      <c r="V59" s="3"/>
      <c r="W59" s="3"/>
      <c r="X59" s="3"/>
      <c r="Y59" s="3"/>
      <c r="Z59" s="3"/>
    </row>
    <row r="60" spans="1:26" ht="12" customHeight="1" x14ac:dyDescent="0.2">
      <c r="A60" s="319" t="s">
        <v>43</v>
      </c>
      <c r="B60" s="320"/>
      <c r="C60" s="320"/>
      <c r="D60" s="320"/>
      <c r="E60" s="320"/>
      <c r="F60" s="320"/>
      <c r="G60" s="320"/>
      <c r="H60" s="320"/>
      <c r="I60" s="400">
        <f ca="1">SUM(I53:I59)</f>
        <v>0</v>
      </c>
      <c r="J60" s="403"/>
      <c r="K60" s="404"/>
      <c r="L60" s="404"/>
      <c r="M60" s="404"/>
      <c r="N60" s="566"/>
      <c r="O60" s="567"/>
      <c r="P60" s="6"/>
      <c r="Q60" s="208" t="s">
        <v>8</v>
      </c>
      <c r="R60" s="209"/>
      <c r="S60" s="79"/>
      <c r="T60" s="64"/>
      <c r="U60" s="80">
        <f>ROUND(SUM(U55:U59),2)</f>
        <v>0</v>
      </c>
      <c r="V60" s="6"/>
      <c r="W60" s="6"/>
      <c r="X60" s="6"/>
      <c r="Y60" s="6"/>
      <c r="Z60" s="6"/>
    </row>
    <row r="61" spans="1:26" ht="15" customHeight="1" x14ac:dyDescent="0.2">
      <c r="A61" s="1"/>
      <c r="B61" s="1"/>
      <c r="C61" s="1"/>
      <c r="D61" s="1"/>
      <c r="E61" s="1"/>
      <c r="F61" s="1"/>
      <c r="G61" s="1"/>
      <c r="H61" s="1"/>
      <c r="I61" s="1"/>
      <c r="K61" s="1"/>
      <c r="L61" s="1"/>
      <c r="M61" s="1"/>
      <c r="Q61" s="142">
        <f ca="1">SUM(I53:I58,E59)</f>
        <v>0</v>
      </c>
    </row>
    <row r="62" spans="1:26" x14ac:dyDescent="0.2">
      <c r="Q62" s="142"/>
    </row>
    <row r="63" spans="1:26" ht="15.75" customHeight="1" x14ac:dyDescent="0.2">
      <c r="Q63" s="142"/>
    </row>
    <row r="64" spans="1:26" x14ac:dyDescent="0.2">
      <c r="A64" s="71" t="str">
        <f>'[1]Beschr-Descr.'!A1</f>
        <v xml:space="preserve">Beschreibung Lohnelemente  </v>
      </c>
      <c r="Q64" s="142"/>
    </row>
    <row r="65" spans="1:6" x14ac:dyDescent="0.2">
      <c r="A65" s="71" t="str">
        <f>'[1]Beschr-Descr.'!A2</f>
        <v>Descrizione elementi di retribuzione</v>
      </c>
      <c r="F65" s="71" t="s">
        <v>3</v>
      </c>
    </row>
    <row r="66" spans="1:6" x14ac:dyDescent="0.2">
      <c r="A66" s="84">
        <f>'[1]Beschr-Descr.'!A3</f>
        <v>0</v>
      </c>
      <c r="B66" s="84">
        <f>'[1]Beschr-Descr.'!B3</f>
        <v>0</v>
      </c>
      <c r="C66" s="84">
        <f>'[1]Beschr-Descr.'!C3</f>
        <v>0</v>
      </c>
      <c r="D66" s="84">
        <f>'[1]Beschr-Descr.'!D3</f>
        <v>0</v>
      </c>
      <c r="E66" s="84">
        <f>'[1]Beschr-Descr.'!E3</f>
        <v>0</v>
      </c>
    </row>
    <row r="67" spans="1:6" x14ac:dyDescent="0.2">
      <c r="A67" s="84" t="str">
        <f>'[1]Beschr-Descr.'!A4</f>
        <v>Normalentlohnung</v>
      </c>
      <c r="B67" s="84"/>
      <c r="C67" s="84">
        <f>'[1]Beschr-Descr.'!C4</f>
        <v>0</v>
      </c>
      <c r="D67" s="84">
        <f>'[1]Beschr-Descr.'!D4</f>
        <v>0</v>
      </c>
      <c r="E67" s="207">
        <f>'[1]Beschr-Descr.'!E4</f>
        <v>0</v>
      </c>
      <c r="F67" t="s">
        <v>44</v>
      </c>
    </row>
    <row r="68" spans="1:6" x14ac:dyDescent="0.2">
      <c r="A68" s="84" t="str">
        <f>'[1]Beschr-Descr.'!A5</f>
        <v>Genossener Urlaub</v>
      </c>
      <c r="B68" s="84"/>
      <c r="C68" s="84">
        <f>'[1]Beschr-Descr.'!C5</f>
        <v>0</v>
      </c>
      <c r="D68" s="84">
        <f>'[1]Beschr-Descr.'!D5</f>
        <v>0</v>
      </c>
      <c r="E68" s="207">
        <f>'[1]Beschr-Descr.'!E5</f>
        <v>0</v>
      </c>
      <c r="F68" s="345" t="s">
        <v>45</v>
      </c>
    </row>
    <row r="69" spans="1:6" x14ac:dyDescent="0.2">
      <c r="A69" s="84" t="str">
        <f>'[1]Beschr-Descr.'!A6</f>
        <v>Genossene Freistellungen</v>
      </c>
      <c r="B69" s="84"/>
      <c r="C69" s="84">
        <f>'[1]Beschr-Descr.'!C6</f>
        <v>0</v>
      </c>
      <c r="D69" s="84">
        <f>'[1]Beschr-Descr.'!D6</f>
        <v>0</v>
      </c>
      <c r="E69" s="207">
        <f>'[1]Beschr-Descr.'!E6</f>
        <v>0</v>
      </c>
      <c r="F69" s="345" t="s">
        <v>46</v>
      </c>
    </row>
    <row r="70" spans="1:6" x14ac:dyDescent="0.2">
      <c r="A70" s="84" t="str">
        <f>'[1]Beschr-Descr.'!A7</f>
        <v>Nicht genossener Urlaub</v>
      </c>
      <c r="B70" s="84"/>
      <c r="C70" s="84">
        <f>'[1]Beschr-Descr.'!C7</f>
        <v>0</v>
      </c>
      <c r="D70" s="84">
        <f>'[1]Beschr-Descr.'!D7</f>
        <v>0</v>
      </c>
      <c r="E70" s="207">
        <f>'[1]Beschr-Descr.'!E7</f>
        <v>0</v>
      </c>
      <c r="F70" s="345"/>
    </row>
    <row r="71" spans="1:6" x14ac:dyDescent="0.2">
      <c r="A71" s="84" t="str">
        <f>'[1]Beschr-Descr.'!A8</f>
        <v>Nicht genossene Freistellungen</v>
      </c>
      <c r="B71" s="84"/>
      <c r="C71" s="84">
        <f>'[1]Beschr-Descr.'!C8</f>
        <v>0</v>
      </c>
      <c r="D71" s="84">
        <f>'[1]Beschr-Descr.'!D8</f>
        <v>0</v>
      </c>
      <c r="E71" s="207">
        <f>'[1]Beschr-Descr.'!E8</f>
        <v>0</v>
      </c>
      <c r="F71" s="345"/>
    </row>
    <row r="72" spans="1:6" x14ac:dyDescent="0.2">
      <c r="A72" s="84" t="str">
        <f>'[1]Beschr-Descr.'!A9</f>
        <v>Nicht genossene Feiertage</v>
      </c>
      <c r="B72" s="84"/>
      <c r="C72" s="84">
        <f>'[1]Beschr-Descr.'!C9</f>
        <v>0</v>
      </c>
      <c r="D72" s="84">
        <f>'[1]Beschr-Descr.'!D9</f>
        <v>0</v>
      </c>
      <c r="E72" s="207">
        <f>'[1]Beschr-Descr.'!E9</f>
        <v>0</v>
      </c>
      <c r="F72" s="345"/>
    </row>
    <row r="73" spans="1:6" x14ac:dyDescent="0.2">
      <c r="A73" s="84" t="str">
        <f>'[1]Beschr-Descr.'!A10</f>
        <v>Zulage für Kassarisiko</v>
      </c>
      <c r="B73" s="84"/>
      <c r="C73" s="84">
        <f>'[1]Beschr-Descr.'!C10</f>
        <v>0</v>
      </c>
      <c r="D73" s="84">
        <f>'[1]Beschr-Descr.'!D10</f>
        <v>0</v>
      </c>
      <c r="E73" s="207">
        <f>'[1]Beschr-Descr.'!E10</f>
        <v>0</v>
      </c>
      <c r="F73" s="345"/>
    </row>
    <row r="74" spans="1:6" x14ac:dyDescent="0.2">
      <c r="A74" s="84">
        <f>'[1]Beschr-Descr.'!A11</f>
        <v>0</v>
      </c>
      <c r="B74" s="84"/>
      <c r="C74" s="84">
        <f>'[1]Beschr-Descr.'!C11</f>
        <v>0</v>
      </c>
      <c r="D74" s="84">
        <f>'[1]Beschr-Descr.'!D11</f>
        <v>0</v>
      </c>
      <c r="E74" s="207">
        <f>'[1]Beschr-Descr.'!E11</f>
        <v>0</v>
      </c>
    </row>
    <row r="75" spans="1:6" x14ac:dyDescent="0.2">
      <c r="A75" s="84" t="str">
        <f>'[1]Beschr-Descr.'!A12</f>
        <v xml:space="preserve">Überstunden 15%  </v>
      </c>
      <c r="B75" s="84"/>
      <c r="C75" s="84">
        <f>'[1]Beschr-Descr.'!C12</f>
        <v>0</v>
      </c>
      <c r="D75" s="84">
        <f>'[1]Beschr-Descr.'!D12</f>
        <v>0</v>
      </c>
      <c r="E75" s="207">
        <f>'[1]Beschr-Descr.'!E12</f>
        <v>0.15</v>
      </c>
    </row>
    <row r="76" spans="1:6" x14ac:dyDescent="0.2">
      <c r="A76" s="84" t="str">
        <f>'[1]Beschr-Descr.'!A13</f>
        <v xml:space="preserve">Überstunden 20%  </v>
      </c>
      <c r="B76" s="84"/>
      <c r="C76" s="84">
        <f>'[1]Beschr-Descr.'!C13</f>
        <v>0</v>
      </c>
      <c r="D76" s="84">
        <f>'[1]Beschr-Descr.'!D13</f>
        <v>0</v>
      </c>
      <c r="E76" s="207">
        <f>'[1]Beschr-Descr.'!E13</f>
        <v>0.2</v>
      </c>
    </row>
    <row r="77" spans="1:6" x14ac:dyDescent="0.2">
      <c r="A77" s="84" t="str">
        <f>'[1]Beschr-Descr.'!A14</f>
        <v xml:space="preserve">Überstunden 30%  </v>
      </c>
      <c r="B77" s="84"/>
      <c r="C77" s="84">
        <f>'[1]Beschr-Descr.'!C14</f>
        <v>0</v>
      </c>
      <c r="D77" s="84">
        <f>'[1]Beschr-Descr.'!D14</f>
        <v>0</v>
      </c>
      <c r="E77" s="207">
        <f>'[1]Beschr-Descr.'!E14</f>
        <v>0.3</v>
      </c>
    </row>
    <row r="78" spans="1:6" x14ac:dyDescent="0.2">
      <c r="A78" s="84" t="str">
        <f>'[1]Beschr-Descr.'!A15</f>
        <v xml:space="preserve">Überstunden 50%  </v>
      </c>
      <c r="B78" s="84"/>
      <c r="C78" s="84">
        <f>'[1]Beschr-Descr.'!C15</f>
        <v>0</v>
      </c>
      <c r="D78" s="84">
        <f>'[1]Beschr-Descr.'!D15</f>
        <v>0</v>
      </c>
      <c r="E78" s="207">
        <f>'[1]Beschr-Descr.'!E15</f>
        <v>0.5</v>
      </c>
    </row>
    <row r="79" spans="1:6" x14ac:dyDescent="0.2">
      <c r="A79" s="84" t="str">
        <f>'[1]Beschr-Descr.'!A16</f>
        <v>Nachtstunden 50%</v>
      </c>
      <c r="B79" s="84"/>
      <c r="C79" s="84">
        <f>'[1]Beschr-Descr.'!C16</f>
        <v>0</v>
      </c>
      <c r="D79" s="84">
        <f>'[1]Beschr-Descr.'!D16</f>
        <v>0</v>
      </c>
      <c r="E79" s="207">
        <f>'[1]Beschr-Descr.'!E16</f>
        <v>0.5</v>
      </c>
    </row>
    <row r="80" spans="1:6" x14ac:dyDescent="0.2">
      <c r="A80" s="84">
        <f>'[1]Beschr-Descr.'!A17</f>
        <v>0</v>
      </c>
      <c r="B80" s="84"/>
      <c r="C80" s="84">
        <f>'[1]Beschr-Descr.'!C17</f>
        <v>0</v>
      </c>
      <c r="D80" s="84">
        <f>'[1]Beschr-Descr.'!D17</f>
        <v>0</v>
      </c>
      <c r="E80" s="207">
        <f>'[1]Beschr-Descr.'!E17</f>
        <v>0</v>
      </c>
    </row>
    <row r="81" spans="1:5" x14ac:dyDescent="0.2">
      <c r="A81" s="84" t="str">
        <f>'[1]Beschr-Descr.'!A18</f>
        <v>Krankheit gesamt</v>
      </c>
      <c r="B81" s="84"/>
      <c r="C81" s="84">
        <f>'[1]Beschr-Descr.'!C18</f>
        <v>0</v>
      </c>
      <c r="D81" s="84">
        <f>'[1]Beschr-Descr.'!D18</f>
        <v>0</v>
      </c>
      <c r="E81" s="207">
        <f>'[1]Beschr-Descr.'!E18</f>
        <v>0</v>
      </c>
    </row>
    <row r="82" spans="1:5" x14ac:dyDescent="0.2">
      <c r="A82" s="84" t="str">
        <f>'[1]Beschr-Descr.'!A19</f>
        <v xml:space="preserve">Krankheit INPS-Anteil 50,00% </v>
      </c>
      <c r="B82" s="84"/>
      <c r="C82" s="84">
        <f>'[1]Beschr-Descr.'!C19</f>
        <v>0</v>
      </c>
      <c r="D82" s="84">
        <f>'[1]Beschr-Descr.'!D19</f>
        <v>0</v>
      </c>
      <c r="E82" s="207">
        <f>'[1]Beschr-Descr.'!E19</f>
        <v>-0.5</v>
      </c>
    </row>
    <row r="83" spans="1:5" x14ac:dyDescent="0.2">
      <c r="A83" s="84" t="str">
        <f>'[1]Beschr-Descr.'!A20</f>
        <v xml:space="preserve">Krankheit INPS-Anteil 66,67% </v>
      </c>
      <c r="B83" s="84"/>
      <c r="C83" s="84">
        <f>'[1]Beschr-Descr.'!C20</f>
        <v>0</v>
      </c>
      <c r="D83" s="84">
        <f>'[1]Beschr-Descr.'!D20</f>
        <v>0</v>
      </c>
      <c r="E83" s="207">
        <f>'[1]Beschr-Descr.'!E20</f>
        <v>-0.66669999999999996</v>
      </c>
    </row>
    <row r="84" spans="1:5" x14ac:dyDescent="0.2">
      <c r="A84" s="84" t="str">
        <f>'[1]Beschr-Descr.'!A21</f>
        <v>Mutterschaft Gesamtbetrag</v>
      </c>
      <c r="B84" s="84"/>
      <c r="C84" s="84">
        <f>'[1]Beschr-Descr.'!C21</f>
        <v>0</v>
      </c>
      <c r="D84" s="84">
        <f>'[1]Beschr-Descr.'!D21</f>
        <v>0</v>
      </c>
      <c r="E84" s="207">
        <f>'[1]Beschr-Descr.'!E21</f>
        <v>0</v>
      </c>
    </row>
    <row r="85" spans="1:5" x14ac:dyDescent="0.2">
      <c r="A85" s="84" t="str">
        <f>'[1]Beschr-Descr.'!A22</f>
        <v>Mutterschaft INPS-Anteil 80,00%</v>
      </c>
      <c r="B85" s="84"/>
      <c r="C85" s="84">
        <f>'[1]Beschr-Descr.'!C22</f>
        <v>0</v>
      </c>
      <c r="D85" s="84">
        <f>'[1]Beschr-Descr.'!D22</f>
        <v>0</v>
      </c>
      <c r="E85" s="207">
        <f>'[1]Beschr-Descr.'!E22</f>
        <v>-0.8</v>
      </c>
    </row>
    <row r="86" spans="1:5" x14ac:dyDescent="0.2">
      <c r="A86" s="84" t="str">
        <f>'[1]Beschr-Descr.'!A23</f>
        <v>Abzug Bruttoberechnung Krankengeld INPS</v>
      </c>
      <c r="B86" s="84"/>
      <c r="C86" s="84">
        <f>'[1]Beschr-Descr.'!C23</f>
        <v>0</v>
      </c>
      <c r="D86" s="84">
        <f>'[1]Beschr-Descr.'!D23</f>
        <v>0</v>
      </c>
      <c r="E86" s="207">
        <f>'[1]Beschr-Descr.'!E23</f>
        <v>0.10120030833608633</v>
      </c>
    </row>
    <row r="87" spans="1:5" x14ac:dyDescent="0.2">
      <c r="A87" s="84">
        <f>'[1]Beschr-Descr.'!A24</f>
        <v>0</v>
      </c>
      <c r="B87" s="84"/>
      <c r="C87" s="84">
        <f>'[1]Beschr-Descr.'!C24</f>
        <v>0</v>
      </c>
      <c r="D87" s="84">
        <f>'[1]Beschr-Descr.'!D24</f>
        <v>0</v>
      </c>
      <c r="E87" s="207">
        <f>'[1]Beschr-Descr.'!E24</f>
        <v>0</v>
      </c>
    </row>
    <row r="88" spans="1:5" x14ac:dyDescent="0.2">
      <c r="A88" s="84" t="str">
        <f>'[1]Beschr-Descr.'!A25</f>
        <v xml:space="preserve">13. Monatsgehalt  </v>
      </c>
      <c r="B88" s="84"/>
      <c r="C88" s="84">
        <f>'[1]Beschr-Descr.'!C25</f>
        <v>0</v>
      </c>
      <c r="D88" s="84">
        <f>'[1]Beschr-Descr.'!D25</f>
        <v>0</v>
      </c>
      <c r="E88" s="207">
        <f>'[1]Beschr-Descr.'!E25</f>
        <v>0</v>
      </c>
    </row>
    <row r="89" spans="1:5" x14ac:dyDescent="0.2">
      <c r="A89" s="84" t="str">
        <f>'[1]Beschr-Descr.'!A26</f>
        <v xml:space="preserve">14. Monatsgehalt  </v>
      </c>
      <c r="B89" s="84"/>
      <c r="C89" s="84">
        <f>'[1]Beschr-Descr.'!C26</f>
        <v>0</v>
      </c>
      <c r="D89" s="84">
        <f>'[1]Beschr-Descr.'!D26</f>
        <v>0</v>
      </c>
      <c r="E89" s="207">
        <f>'[1]Beschr-Descr.'!E26</f>
        <v>0</v>
      </c>
    </row>
    <row r="90" spans="1:5" x14ac:dyDescent="0.2">
      <c r="A90" s="84" t="str">
        <f>'[1]Beschr-Descr.'!A27</f>
        <v xml:space="preserve">Nichteinhaltung Kündigungsfrist  </v>
      </c>
      <c r="B90" s="84"/>
      <c r="C90" s="84">
        <f>'[1]Beschr-Descr.'!C27</f>
        <v>0</v>
      </c>
      <c r="D90" s="84">
        <f>'[1]Beschr-Descr.'!D27</f>
        <v>0</v>
      </c>
      <c r="E90" s="207">
        <f>'[1]Beschr-Descr.'!E27</f>
        <v>0</v>
      </c>
    </row>
    <row r="91" spans="1:5" x14ac:dyDescent="0.2">
      <c r="A91" s="84" t="str">
        <f>'[1]Beschr-Descr.'!A28</f>
        <v>Una Tantum</v>
      </c>
      <c r="B91" s="84"/>
      <c r="C91" s="84">
        <f>'[1]Beschr-Descr.'!C28</f>
        <v>0</v>
      </c>
      <c r="D91" s="84">
        <f>'[1]Beschr-Descr.'!D28</f>
        <v>0</v>
      </c>
      <c r="E91" s="207">
        <f>'[1]Beschr-Descr.'!E28</f>
        <v>0</v>
      </c>
    </row>
    <row r="92" spans="1:5" x14ac:dyDescent="0.2">
      <c r="A92" s="84" t="str">
        <f>'[1]Beschr-Descr.'!A29</f>
        <v>Prämie</v>
      </c>
      <c r="B92" s="84"/>
      <c r="C92" s="84">
        <f>'[1]Beschr-Descr.'!C29</f>
        <v>0</v>
      </c>
      <c r="D92" s="84">
        <f>'[1]Beschr-Descr.'!D29</f>
        <v>0</v>
      </c>
      <c r="E92" s="207">
        <f>'[1]Beschr-Descr.'!E29</f>
        <v>0</v>
      </c>
    </row>
    <row r="93" spans="1:5" x14ac:dyDescent="0.2">
      <c r="A93" s="84">
        <f>'[1]Beschr-Descr.'!A30</f>
        <v>0</v>
      </c>
      <c r="B93" s="84"/>
      <c r="C93" s="84">
        <f>'[1]Beschr-Descr.'!C30</f>
        <v>0</v>
      </c>
      <c r="D93" s="84">
        <f>'[1]Beschr-Descr.'!D30</f>
        <v>0</v>
      </c>
      <c r="E93" s="207">
        <f>'[1]Beschr-Descr.'!E30</f>
        <v>0</v>
      </c>
    </row>
    <row r="94" spans="1:5" x14ac:dyDescent="0.2">
      <c r="A94" s="84">
        <f>'[1]Beschr-Descr.'!A31</f>
        <v>0</v>
      </c>
      <c r="B94" s="84"/>
      <c r="C94" s="84">
        <f>'[1]Beschr-Descr.'!C31</f>
        <v>0</v>
      </c>
      <c r="D94" s="84">
        <f>'[1]Beschr-Descr.'!D31</f>
        <v>0</v>
      </c>
      <c r="E94" s="207">
        <f>'[1]Beschr-Descr.'!E31</f>
        <v>0</v>
      </c>
    </row>
    <row r="95" spans="1:5" x14ac:dyDescent="0.2">
      <c r="A95" s="84" t="str">
        <f>'[1]Beschr-Descr.'!A32</f>
        <v xml:space="preserve">Retribuzione ordinaria </v>
      </c>
      <c r="B95" s="84"/>
      <c r="C95" s="84">
        <f>'[1]Beschr-Descr.'!C32</f>
        <v>0</v>
      </c>
      <c r="D95" s="84">
        <f>'[1]Beschr-Descr.'!D32</f>
        <v>0</v>
      </c>
      <c r="E95" s="207">
        <f>'[1]Beschr-Descr.'!E32</f>
        <v>0</v>
      </c>
    </row>
    <row r="96" spans="1:5" x14ac:dyDescent="0.2">
      <c r="A96" s="84" t="str">
        <f>'[1]Beschr-Descr.'!A33</f>
        <v>Ferie godute</v>
      </c>
      <c r="B96" s="84"/>
      <c r="C96" s="84">
        <f>'[1]Beschr-Descr.'!C33</f>
        <v>0</v>
      </c>
      <c r="D96" s="84">
        <f>'[1]Beschr-Descr.'!D33</f>
        <v>0</v>
      </c>
      <c r="E96" s="207">
        <f>'[1]Beschr-Descr.'!E33</f>
        <v>0</v>
      </c>
    </row>
    <row r="97" spans="1:5" x14ac:dyDescent="0.2">
      <c r="A97" s="84" t="str">
        <f>'[1]Beschr-Descr.'!A34</f>
        <v>Permessi goduti</v>
      </c>
      <c r="B97" s="84"/>
      <c r="C97" s="84">
        <f>'[1]Beschr-Descr.'!C34</f>
        <v>0</v>
      </c>
      <c r="D97" s="84">
        <f>'[1]Beschr-Descr.'!D34</f>
        <v>0</v>
      </c>
      <c r="E97" s="207">
        <f>'[1]Beschr-Descr.'!E34</f>
        <v>0</v>
      </c>
    </row>
    <row r="98" spans="1:5" x14ac:dyDescent="0.2">
      <c r="A98" s="84" t="str">
        <f>'[1]Beschr-Descr.'!A35</f>
        <v>Ferie non godute</v>
      </c>
      <c r="B98" s="84"/>
      <c r="C98" s="84">
        <f>'[1]Beschr-Descr.'!C35</f>
        <v>0</v>
      </c>
      <c r="D98" s="84">
        <f>'[1]Beschr-Descr.'!D35</f>
        <v>0</v>
      </c>
      <c r="E98" s="207">
        <f>'[1]Beschr-Descr.'!E35</f>
        <v>0</v>
      </c>
    </row>
    <row r="99" spans="1:5" x14ac:dyDescent="0.2">
      <c r="A99" s="84" t="str">
        <f>'[1]Beschr-Descr.'!A36</f>
        <v>Ferie non godute</v>
      </c>
      <c r="B99" s="84"/>
      <c r="C99" s="84">
        <f>'[1]Beschr-Descr.'!C36</f>
        <v>0</v>
      </c>
      <c r="D99" s="84">
        <f>'[1]Beschr-Descr.'!D36</f>
        <v>0</v>
      </c>
      <c r="E99" s="207">
        <f>'[1]Beschr-Descr.'!E36</f>
        <v>0</v>
      </c>
    </row>
    <row r="100" spans="1:5" x14ac:dyDescent="0.2">
      <c r="A100" s="84" t="str">
        <f>'[1]Beschr-Descr.'!A37</f>
        <v>Festività non godute</v>
      </c>
      <c r="B100" s="84"/>
      <c r="C100" s="84">
        <f>'[1]Beschr-Descr.'!C37</f>
        <v>0</v>
      </c>
      <c r="D100" s="84">
        <f>'[1]Beschr-Descr.'!D37</f>
        <v>0</v>
      </c>
      <c r="E100" s="207">
        <f>'[1]Beschr-Descr.'!E37</f>
        <v>0</v>
      </c>
    </row>
    <row r="101" spans="1:5" x14ac:dyDescent="0.2">
      <c r="A101" s="84" t="str">
        <f>'[1]Beschr-Descr.'!A38</f>
        <v>Indennità rischio cassa</v>
      </c>
      <c r="B101" s="84"/>
      <c r="C101" s="84">
        <f>'[1]Beschr-Descr.'!C38</f>
        <v>0</v>
      </c>
      <c r="D101" s="84">
        <f>'[1]Beschr-Descr.'!D38</f>
        <v>0</v>
      </c>
      <c r="E101" s="207">
        <f>'[1]Beschr-Descr.'!E38</f>
        <v>0</v>
      </c>
    </row>
    <row r="102" spans="1:5" x14ac:dyDescent="0.2">
      <c r="A102" s="84">
        <f>'[1]Beschr-Descr.'!A39</f>
        <v>0</v>
      </c>
      <c r="B102" s="84"/>
      <c r="C102" s="84">
        <f>'[1]Beschr-Descr.'!C39</f>
        <v>0</v>
      </c>
      <c r="D102" s="84">
        <f>'[1]Beschr-Descr.'!D39</f>
        <v>0</v>
      </c>
      <c r="E102" s="207">
        <f>'[1]Beschr-Descr.'!E39</f>
        <v>0</v>
      </c>
    </row>
    <row r="103" spans="1:5" x14ac:dyDescent="0.2">
      <c r="A103" s="84" t="str">
        <f>'[1]Beschr-Descr.'!A40</f>
        <v>Ore straordinarie 15%</v>
      </c>
      <c r="B103" s="84"/>
      <c r="C103" s="84">
        <f>'[1]Beschr-Descr.'!C40</f>
        <v>0</v>
      </c>
      <c r="D103" s="84">
        <f>'[1]Beschr-Descr.'!D40</f>
        <v>0</v>
      </c>
      <c r="E103" s="207">
        <f>'[1]Beschr-Descr.'!E40</f>
        <v>0.15</v>
      </c>
    </row>
    <row r="104" spans="1:5" x14ac:dyDescent="0.2">
      <c r="A104" s="84" t="str">
        <f>'[1]Beschr-Descr.'!A41</f>
        <v>Ore straordinarie 20%</v>
      </c>
      <c r="B104" s="84"/>
      <c r="C104" s="84">
        <f>'[1]Beschr-Descr.'!C41</f>
        <v>0</v>
      </c>
      <c r="D104" s="84">
        <f>'[1]Beschr-Descr.'!D41</f>
        <v>0</v>
      </c>
      <c r="E104" s="207">
        <f>'[1]Beschr-Descr.'!E41</f>
        <v>0.2</v>
      </c>
    </row>
    <row r="105" spans="1:5" x14ac:dyDescent="0.2">
      <c r="A105" s="84" t="str">
        <f>'[1]Beschr-Descr.'!A42</f>
        <v>Ore straordinarie 30%</v>
      </c>
      <c r="B105" s="84"/>
      <c r="C105" s="84">
        <f>'[1]Beschr-Descr.'!C42</f>
        <v>0</v>
      </c>
      <c r="D105" s="84">
        <f>'[1]Beschr-Descr.'!D42</f>
        <v>0</v>
      </c>
      <c r="E105" s="207">
        <f>'[1]Beschr-Descr.'!E42</f>
        <v>0.3</v>
      </c>
    </row>
    <row r="106" spans="1:5" x14ac:dyDescent="0.2">
      <c r="A106" s="84" t="str">
        <f>'[1]Beschr-Descr.'!A43</f>
        <v>Ore straordinarie 50%</v>
      </c>
      <c r="B106" s="84"/>
      <c r="C106" s="84">
        <f>'[1]Beschr-Descr.'!C43</f>
        <v>0</v>
      </c>
      <c r="D106" s="84">
        <f>'[1]Beschr-Descr.'!D43</f>
        <v>0</v>
      </c>
      <c r="E106" s="207">
        <f>'[1]Beschr-Descr.'!E43</f>
        <v>0.5</v>
      </c>
    </row>
    <row r="107" spans="1:5" x14ac:dyDescent="0.2">
      <c r="A107" s="84" t="str">
        <f>'[1]Beschr-Descr.'!A44</f>
        <v>Ore notturne 50%</v>
      </c>
      <c r="B107" s="84"/>
      <c r="C107" s="84">
        <f>'[1]Beschr-Descr.'!C44</f>
        <v>0</v>
      </c>
      <c r="D107" s="84">
        <f>'[1]Beschr-Descr.'!D44</f>
        <v>0</v>
      </c>
      <c r="E107" s="207">
        <f>'[1]Beschr-Descr.'!E44</f>
        <v>0.5</v>
      </c>
    </row>
    <row r="108" spans="1:5" x14ac:dyDescent="0.2">
      <c r="A108" s="84">
        <f>'[1]Beschr-Descr.'!A45</f>
        <v>0</v>
      </c>
      <c r="B108" s="84"/>
      <c r="C108" s="84">
        <f>'[1]Beschr-Descr.'!C45</f>
        <v>0</v>
      </c>
      <c r="D108" s="84">
        <f>'[1]Beschr-Descr.'!D45</f>
        <v>0</v>
      </c>
      <c r="E108" s="207">
        <f>'[1]Beschr-Descr.'!E45</f>
        <v>0</v>
      </c>
    </row>
    <row r="109" spans="1:5" x14ac:dyDescent="0.2">
      <c r="A109" s="84" t="str">
        <f>'[1]Beschr-Descr.'!A46</f>
        <v>Indennità di malattia totale</v>
      </c>
      <c r="B109" s="84"/>
      <c r="C109" s="84">
        <f>'[1]Beschr-Descr.'!C46</f>
        <v>0</v>
      </c>
      <c r="D109" s="84">
        <f>'[1]Beschr-Descr.'!D46</f>
        <v>0</v>
      </c>
      <c r="E109" s="207">
        <f>'[1]Beschr-Descr.'!E46</f>
        <v>0</v>
      </c>
    </row>
    <row r="110" spans="1:5" x14ac:dyDescent="0.2">
      <c r="A110" s="84" t="str">
        <f>'[1]Beschr-Descr.'!A47</f>
        <v>Indennità di malattia quota INPS 50%</v>
      </c>
      <c r="B110" s="84"/>
      <c r="C110" s="84">
        <f>'[1]Beschr-Descr.'!C47</f>
        <v>0</v>
      </c>
      <c r="D110" s="84">
        <f>'[1]Beschr-Descr.'!D47</f>
        <v>0</v>
      </c>
      <c r="E110" s="207">
        <f>'[1]Beschr-Descr.'!E47</f>
        <v>-0.5</v>
      </c>
    </row>
    <row r="111" spans="1:5" x14ac:dyDescent="0.2">
      <c r="A111" s="84" t="str">
        <f>'[1]Beschr-Descr.'!A48</f>
        <v>Indennità di malattia quota INPS 66,67%</v>
      </c>
      <c r="B111" s="84"/>
      <c r="C111" s="84">
        <f>'[1]Beschr-Descr.'!C48</f>
        <v>0</v>
      </c>
      <c r="D111" s="84">
        <f>'[1]Beschr-Descr.'!D48</f>
        <v>0</v>
      </c>
      <c r="E111" s="207">
        <f>'[1]Beschr-Descr.'!E48</f>
        <v>-0.66669999999999996</v>
      </c>
    </row>
    <row r="112" spans="1:5" x14ac:dyDescent="0.2">
      <c r="A112" s="84" t="str">
        <f>'[1]Beschr-Descr.'!A49</f>
        <v>Indennità di maternità importo totale</v>
      </c>
      <c r="B112" s="84"/>
      <c r="C112" s="84">
        <f>'[1]Beschr-Descr.'!C49</f>
        <v>0</v>
      </c>
      <c r="D112" s="84">
        <f>'[1]Beschr-Descr.'!D49</f>
        <v>0</v>
      </c>
      <c r="E112" s="207">
        <f>'[1]Beschr-Descr.'!E49</f>
        <v>0</v>
      </c>
    </row>
    <row r="113" spans="1:5" x14ac:dyDescent="0.2">
      <c r="A113" s="84" t="str">
        <f>'[1]Beschr-Descr.'!A50</f>
        <v>Indennità di maternità quota INPS 80,00%</v>
      </c>
      <c r="B113" s="84"/>
      <c r="C113" s="84">
        <f>'[1]Beschr-Descr.'!C50</f>
        <v>0</v>
      </c>
      <c r="D113" s="84">
        <f>'[1]Beschr-Descr.'!D50</f>
        <v>0</v>
      </c>
      <c r="E113" s="207">
        <f>'[1]Beschr-Descr.'!E50</f>
        <v>-0.8</v>
      </c>
    </row>
    <row r="114" spans="1:5" x14ac:dyDescent="0.2">
      <c r="A114" s="84" t="str">
        <f>'[1]Beschr-Descr.'!A51</f>
        <v>Lordizzazione indennità malattia quota INPS</v>
      </c>
      <c r="B114" s="84"/>
      <c r="C114" s="84">
        <f>'[1]Beschr-Descr.'!C51</f>
        <v>0</v>
      </c>
      <c r="D114" s="84">
        <f>'[1]Beschr-Descr.'!D51</f>
        <v>0</v>
      </c>
      <c r="E114" s="207">
        <f>'[1]Beschr-Descr.'!E51</f>
        <v>0.1012</v>
      </c>
    </row>
    <row r="115" spans="1:5" x14ac:dyDescent="0.2">
      <c r="A115" s="84">
        <f>'[1]Beschr-Descr.'!A52</f>
        <v>0</v>
      </c>
      <c r="B115" s="84"/>
      <c r="C115" s="84">
        <f>'[1]Beschr-Descr.'!C52</f>
        <v>0</v>
      </c>
      <c r="D115" s="84">
        <f>'[1]Beschr-Descr.'!D52</f>
        <v>0</v>
      </c>
      <c r="E115" s="207">
        <f>'[1]Beschr-Descr.'!E52</f>
        <v>0</v>
      </c>
    </row>
    <row r="116" spans="1:5" x14ac:dyDescent="0.2">
      <c r="A116" s="84" t="str">
        <f>'[1]Beschr-Descr.'!A53</f>
        <v>13a mensilità</v>
      </c>
      <c r="B116" s="84"/>
      <c r="C116" s="84">
        <f>'[1]Beschr-Descr.'!C53</f>
        <v>0</v>
      </c>
      <c r="D116" s="84">
        <f>'[1]Beschr-Descr.'!D53</f>
        <v>0</v>
      </c>
      <c r="E116" s="207">
        <f>'[1]Beschr-Descr.'!E53</f>
        <v>0</v>
      </c>
    </row>
    <row r="117" spans="1:5" x14ac:dyDescent="0.2">
      <c r="A117" s="84" t="str">
        <f>'[1]Beschr-Descr.'!A54</f>
        <v>14a mensilità</v>
      </c>
      <c r="B117" s="84"/>
      <c r="C117" s="84">
        <f>'[1]Beschr-Descr.'!C54</f>
        <v>0</v>
      </c>
      <c r="D117" s="84">
        <f>'[1]Beschr-Descr.'!D54</f>
        <v>0</v>
      </c>
      <c r="E117" s="207">
        <f>'[1]Beschr-Descr.'!E54</f>
        <v>0</v>
      </c>
    </row>
    <row r="118" spans="1:5" x14ac:dyDescent="0.2">
      <c r="A118" s="84" t="str">
        <f>'[1]Beschr-Descr.'!A55</f>
        <v>Mancato rispetto periodo preavviso licenziamento</v>
      </c>
      <c r="B118" s="84"/>
      <c r="C118" s="84">
        <f>'[1]Beschr-Descr.'!C55</f>
        <v>0</v>
      </c>
      <c r="D118" s="84">
        <f>'[1]Beschr-Descr.'!D55</f>
        <v>0</v>
      </c>
      <c r="E118" s="207">
        <f>'[1]Beschr-Descr.'!E55</f>
        <v>0</v>
      </c>
    </row>
    <row r="119" spans="1:5" x14ac:dyDescent="0.2">
      <c r="A119" s="84" t="str">
        <f>'[1]Beschr-Descr.'!A56</f>
        <v>Una Tantum</v>
      </c>
      <c r="B119" s="84"/>
      <c r="C119" s="84">
        <f>'[1]Beschr-Descr.'!C56</f>
        <v>0</v>
      </c>
      <c r="D119" s="84">
        <f>'[1]Beschr-Descr.'!D56</f>
        <v>0</v>
      </c>
      <c r="E119" s="207">
        <f>'[1]Beschr-Descr.'!E56</f>
        <v>0</v>
      </c>
    </row>
    <row r="120" spans="1:5" x14ac:dyDescent="0.2">
      <c r="A120" s="84" t="str">
        <f>'[1]Beschr-Descr.'!A57</f>
        <v>Premio</v>
      </c>
      <c r="B120" s="84"/>
      <c r="C120" s="84">
        <f>'[1]Beschr-Descr.'!C57</f>
        <v>0</v>
      </c>
      <c r="D120" s="84">
        <f>'[1]Beschr-Descr.'!D57</f>
        <v>0</v>
      </c>
      <c r="E120" s="207">
        <f>'[1]Beschr-Descr.'!E57</f>
        <v>0</v>
      </c>
    </row>
    <row r="121" spans="1:5" x14ac:dyDescent="0.2">
      <c r="A121" s="84">
        <f>'[1]Beschr-Descr.'!A58</f>
        <v>0</v>
      </c>
      <c r="B121" s="84"/>
      <c r="C121" s="84">
        <f>'[1]Beschr-Descr.'!C58</f>
        <v>0</v>
      </c>
      <c r="D121" s="84">
        <f>'[1]Beschr-Descr.'!D58</f>
        <v>0</v>
      </c>
      <c r="E121" s="207">
        <f>'[1]Beschr-Descr.'!E58</f>
        <v>0</v>
      </c>
    </row>
    <row r="122" spans="1:5" x14ac:dyDescent="0.2">
      <c r="A122">
        <f>'[1]Beschr-Descr.'!A61</f>
        <v>0</v>
      </c>
    </row>
    <row r="123" spans="1:5" x14ac:dyDescent="0.2">
      <c r="A123">
        <f>'[1]Beschr-Descr.'!A62</f>
        <v>0</v>
      </c>
    </row>
    <row r="124" spans="1:5" x14ac:dyDescent="0.2">
      <c r="A124">
        <f>'[1]Beschr-Descr.'!A63</f>
        <v>0</v>
      </c>
    </row>
    <row r="125" spans="1:5" x14ac:dyDescent="0.2">
      <c r="A125">
        <f>'[1]Beschr-Descr.'!A64</f>
        <v>0</v>
      </c>
    </row>
    <row r="126" spans="1:5" x14ac:dyDescent="0.2">
      <c r="A126">
        <f>'[1]Beschr-Descr.'!A65</f>
        <v>0</v>
      </c>
    </row>
    <row r="127" spans="1:5" x14ac:dyDescent="0.2">
      <c r="A127">
        <f>'[1]Beschr-Descr.'!A66</f>
        <v>0</v>
      </c>
    </row>
    <row r="128" spans="1:5" x14ac:dyDescent="0.2">
      <c r="A128">
        <f>'[1]Beschr-Descr.'!A67</f>
        <v>0</v>
      </c>
    </row>
    <row r="129" spans="1:1" x14ac:dyDescent="0.2">
      <c r="A129">
        <f>'[1]Beschr-Descr.'!A68</f>
        <v>0</v>
      </c>
    </row>
    <row r="130" spans="1:1" x14ac:dyDescent="0.2">
      <c r="A130">
        <f>'[1]Beschr-Descr.'!A69</f>
        <v>0</v>
      </c>
    </row>
    <row r="131" spans="1:1" x14ac:dyDescent="0.2">
      <c r="A131">
        <f>'[1]Beschr-Descr.'!A70</f>
        <v>0</v>
      </c>
    </row>
    <row r="132" spans="1:1" x14ac:dyDescent="0.2">
      <c r="A132">
        <f>'[1]Beschr-Descr.'!A71</f>
        <v>0</v>
      </c>
    </row>
    <row r="133" spans="1:1" x14ac:dyDescent="0.2">
      <c r="A133">
        <f>'[1]Beschr-Descr.'!A72</f>
        <v>0</v>
      </c>
    </row>
    <row r="134" spans="1:1" x14ac:dyDescent="0.2">
      <c r="A134">
        <f>'[1]Beschr-Descr.'!A73</f>
        <v>0</v>
      </c>
    </row>
    <row r="135" spans="1:1" x14ac:dyDescent="0.2">
      <c r="A135">
        <f>'[1]Beschr-Descr.'!A74</f>
        <v>0</v>
      </c>
    </row>
    <row r="136" spans="1:1" x14ac:dyDescent="0.2">
      <c r="A136">
        <f>'[1]Beschr-Descr.'!A75</f>
        <v>0</v>
      </c>
    </row>
    <row r="137" spans="1:1" x14ac:dyDescent="0.2">
      <c r="A137">
        <f>'[1]Beschr-Descr.'!A76</f>
        <v>0</v>
      </c>
    </row>
    <row r="138" spans="1:1" x14ac:dyDescent="0.2">
      <c r="A138">
        <f>'[1]Beschr-Descr.'!A77</f>
        <v>0</v>
      </c>
    </row>
    <row r="139" spans="1:1" x14ac:dyDescent="0.2">
      <c r="A139">
        <f>'[1]Beschr-Descr.'!A78</f>
        <v>0</v>
      </c>
    </row>
    <row r="140" spans="1:1" x14ac:dyDescent="0.2">
      <c r="A140">
        <f>'[1]Beschr-Descr.'!A79</f>
        <v>0</v>
      </c>
    </row>
    <row r="141" spans="1:1" x14ac:dyDescent="0.2">
      <c r="A141">
        <f>'[1]Beschr-Descr.'!A80</f>
        <v>0</v>
      </c>
    </row>
    <row r="142" spans="1:1" x14ac:dyDescent="0.2">
      <c r="A142">
        <f>'[1]Beschr-Descr.'!A81</f>
        <v>0</v>
      </c>
    </row>
    <row r="143" spans="1:1" x14ac:dyDescent="0.2">
      <c r="A143">
        <f>'[1]Beschr-Descr.'!A82</f>
        <v>0</v>
      </c>
    </row>
    <row r="144" spans="1:1" x14ac:dyDescent="0.2">
      <c r="A144">
        <f>'[1]Beschr-Descr.'!A83</f>
        <v>0</v>
      </c>
    </row>
    <row r="145" spans="1:1" x14ac:dyDescent="0.2">
      <c r="A145">
        <f>'[1]Beschr-Descr.'!A84</f>
        <v>0</v>
      </c>
    </row>
    <row r="146" spans="1:1" x14ac:dyDescent="0.2">
      <c r="A146">
        <f>'[1]Beschr-Descr.'!A85</f>
        <v>0</v>
      </c>
    </row>
    <row r="147" spans="1:1" x14ac:dyDescent="0.2">
      <c r="A147">
        <f>'[1]Beschr-Descr.'!A86</f>
        <v>0</v>
      </c>
    </row>
    <row r="148" spans="1:1" x14ac:dyDescent="0.2">
      <c r="A148">
        <f>'[1]Beschr-Descr.'!A87</f>
        <v>0</v>
      </c>
    </row>
    <row r="149" spans="1:1" x14ac:dyDescent="0.2">
      <c r="A149">
        <f>'[1]Beschr-Descr.'!A88</f>
        <v>0</v>
      </c>
    </row>
    <row r="150" spans="1:1" x14ac:dyDescent="0.2">
      <c r="A150">
        <f>'[1]Beschr-Descr.'!A89</f>
        <v>0</v>
      </c>
    </row>
    <row r="151" spans="1:1" x14ac:dyDescent="0.2">
      <c r="A151">
        <f>'[1]Beschr-Descr.'!A90</f>
        <v>0</v>
      </c>
    </row>
    <row r="152" spans="1:1" x14ac:dyDescent="0.2">
      <c r="A152">
        <f>'[1]Beschr-Descr.'!A91</f>
        <v>0</v>
      </c>
    </row>
    <row r="153" spans="1:1" x14ac:dyDescent="0.2">
      <c r="A153">
        <f>'[1]Beschr-Descr.'!A92</f>
        <v>0</v>
      </c>
    </row>
    <row r="154" spans="1:1" x14ac:dyDescent="0.2">
      <c r="A154">
        <f>'[1]Beschr-Descr.'!A93</f>
        <v>0</v>
      </c>
    </row>
    <row r="155" spans="1:1" x14ac:dyDescent="0.2">
      <c r="A155">
        <f>'[1]Beschr-Descr.'!A94</f>
        <v>0</v>
      </c>
    </row>
    <row r="156" spans="1:1" x14ac:dyDescent="0.2">
      <c r="A156">
        <f>'[1]Beschr-Descr.'!A95</f>
        <v>0</v>
      </c>
    </row>
    <row r="157" spans="1:1" x14ac:dyDescent="0.2">
      <c r="A157">
        <f>'[1]Beschr-Descr.'!A96</f>
        <v>0</v>
      </c>
    </row>
    <row r="158" spans="1:1" x14ac:dyDescent="0.2">
      <c r="A158">
        <f>'[1]Beschr-Descr.'!A97</f>
        <v>0</v>
      </c>
    </row>
    <row r="159" spans="1:1" x14ac:dyDescent="0.2">
      <c r="A159">
        <f>'[1]Beschr-Descr.'!A98</f>
        <v>0</v>
      </c>
    </row>
    <row r="160" spans="1:1" x14ac:dyDescent="0.2">
      <c r="A160">
        <f>'[1]Beschr-Descr.'!A99</f>
        <v>0</v>
      </c>
    </row>
    <row r="161" spans="1:1" x14ac:dyDescent="0.2">
      <c r="A161">
        <f>'[1]Beschr-Descr.'!A100</f>
        <v>0</v>
      </c>
    </row>
    <row r="162" spans="1:1" x14ac:dyDescent="0.2">
      <c r="A162">
        <f>'[1]Beschr-Descr.'!A101</f>
        <v>0</v>
      </c>
    </row>
    <row r="163" spans="1:1" x14ac:dyDescent="0.2">
      <c r="A163">
        <f>'[1]Beschr-Descr.'!A102</f>
        <v>0</v>
      </c>
    </row>
  </sheetData>
  <mergeCells count="70">
    <mergeCell ref="N60:O60"/>
    <mergeCell ref="J54:O54"/>
    <mergeCell ref="J57:O57"/>
    <mergeCell ref="N55:O55"/>
    <mergeCell ref="N56:O56"/>
    <mergeCell ref="N58:O58"/>
    <mergeCell ref="N59:O59"/>
    <mergeCell ref="A28:C28"/>
    <mergeCell ref="S41:S43"/>
    <mergeCell ref="E46:F46"/>
    <mergeCell ref="E43:F43"/>
    <mergeCell ref="E44:F44"/>
    <mergeCell ref="E45:F45"/>
    <mergeCell ref="A26:C26"/>
    <mergeCell ref="A27:C27"/>
    <mergeCell ref="A19:C19"/>
    <mergeCell ref="A20:C20"/>
    <mergeCell ref="A24:C24"/>
    <mergeCell ref="A25:C25"/>
    <mergeCell ref="A22:C22"/>
    <mergeCell ref="A21:C21"/>
    <mergeCell ref="A23:C23"/>
    <mergeCell ref="E59:F59"/>
    <mergeCell ref="E54:F54"/>
    <mergeCell ref="E58:F58"/>
    <mergeCell ref="E55:F55"/>
    <mergeCell ref="E56:F56"/>
    <mergeCell ref="E57:F57"/>
    <mergeCell ref="E9:F9"/>
    <mergeCell ref="E18:F18"/>
    <mergeCell ref="E12:F12"/>
    <mergeCell ref="E15:F15"/>
    <mergeCell ref="E16:F16"/>
    <mergeCell ref="E13:F13"/>
    <mergeCell ref="E14:F14"/>
    <mergeCell ref="U53:U54"/>
    <mergeCell ref="N50:N51"/>
    <mergeCell ref="O50:O51"/>
    <mergeCell ref="T53:T54"/>
    <mergeCell ref="E3:F3"/>
    <mergeCell ref="E7:F7"/>
    <mergeCell ref="E5:F5"/>
    <mergeCell ref="E8:F8"/>
    <mergeCell ref="E50:F50"/>
    <mergeCell ref="E51:F51"/>
    <mergeCell ref="E52:F52"/>
    <mergeCell ref="O10:O18"/>
    <mergeCell ref="Q53:R53"/>
    <mergeCell ref="S53:S54"/>
    <mergeCell ref="N10:N18"/>
    <mergeCell ref="E11:F11"/>
    <mergeCell ref="E48:F48"/>
    <mergeCell ref="U41:U43"/>
    <mergeCell ref="Q41:R42"/>
    <mergeCell ref="T41:T43"/>
    <mergeCell ref="E49:F49"/>
    <mergeCell ref="E47:F47"/>
    <mergeCell ref="J52:O52"/>
    <mergeCell ref="Q5:S6"/>
    <mergeCell ref="Q7:S8"/>
    <mergeCell ref="J1:O1"/>
    <mergeCell ref="J8:O9"/>
    <mergeCell ref="J10:J18"/>
    <mergeCell ref="K10:K18"/>
    <mergeCell ref="M10:M18"/>
    <mergeCell ref="Q10:S11"/>
    <mergeCell ref="K50:K51"/>
    <mergeCell ref="M50:M51"/>
    <mergeCell ref="L10:L18"/>
    <mergeCell ref="L50:L51"/>
  </mergeCells>
  <phoneticPr fontId="2" type="noConversion"/>
  <dataValidations count="2">
    <dataValidation type="list" allowBlank="1" showInputMessage="1" showErrorMessage="1" sqref="E19:E28" xr:uid="{00000000-0002-0000-0D00-000000000000}">
      <formula1>$F$67:$F$72</formula1>
    </dataValidation>
    <dataValidation type="list" allowBlank="1" showInputMessage="1" showErrorMessage="1" sqref="A19:C28" xr:uid="{00000000-0002-0000-0D00-000001000000}">
      <formula1>$A$67:$A$151</formula1>
    </dataValidation>
  </dataValidations>
  <printOptions horizontalCentered="1" verticalCentered="1"/>
  <pageMargins left="0.19685039370078741" right="0.19685039370078741" top="0.39370078740157483" bottom="0.39370078740157483" header="0" footer="0.19685039370078741"/>
  <pageSetup paperSize="9" orientation="portrait" r:id="rId1"/>
  <headerFooter alignWithMargins="0">
    <oddFooter>&amp;C&amp;"Calibri,Standard"Lohnberechnung FRINO PRO 2017 von Dr. Friedrich Nöckler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5364" r:id="rId4" name="Drop Down 4">
              <controlPr defaultSize="0" print="0" autoLine="0" autoPict="0">
                <anchor moveWithCells="1">
                  <from>
                    <xdr:col>6</xdr:col>
                    <xdr:colOff>0</xdr:colOff>
                    <xdr:row>1</xdr:row>
                    <xdr:rowOff>152400</xdr:rowOff>
                  </from>
                  <to>
                    <xdr:col>8</xdr:col>
                    <xdr:colOff>542925</xdr:colOff>
                    <xdr:row>2</xdr:row>
                    <xdr:rowOff>190500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Tabelle16"/>
  <dimension ref="A1:O63"/>
  <sheetViews>
    <sheetView showGridLines="0" topLeftCell="A3" workbookViewId="0">
      <selection activeCell="C6" sqref="C6"/>
    </sheetView>
  </sheetViews>
  <sheetFormatPr baseColWidth="10" defaultRowHeight="12.75" x14ac:dyDescent="0.2"/>
  <cols>
    <col min="1" max="2" width="9.28515625" customWidth="1"/>
    <col min="5" max="5" width="3.140625" customWidth="1"/>
    <col min="9" max="9" width="3.5703125" customWidth="1"/>
    <col min="10" max="10" width="7.42578125" customWidth="1"/>
    <col min="11" max="11" width="7.85546875" style="253" customWidth="1"/>
    <col min="12" max="13" width="7.85546875" customWidth="1"/>
  </cols>
  <sheetData>
    <row r="1" spans="1:15" x14ac:dyDescent="0.2">
      <c r="A1" s="71" t="s">
        <v>208</v>
      </c>
    </row>
    <row r="3" spans="1:15" s="1" customFormat="1" ht="16.5" customHeight="1" x14ac:dyDescent="0.2">
      <c r="A3" s="321" t="s">
        <v>201</v>
      </c>
      <c r="B3" s="283"/>
      <c r="C3" s="285" t="s">
        <v>206</v>
      </c>
      <c r="D3" s="1" t="s">
        <v>204</v>
      </c>
      <c r="K3" s="284"/>
      <c r="O3" s="1" t="s">
        <v>205</v>
      </c>
    </row>
    <row r="4" spans="1:15" s="1" customFormat="1" ht="16.5" customHeight="1" x14ac:dyDescent="0.2">
      <c r="A4" s="321" t="s">
        <v>177</v>
      </c>
      <c r="B4" s="283"/>
      <c r="C4" s="285">
        <v>0</v>
      </c>
      <c r="D4" s="1" t="s">
        <v>203</v>
      </c>
      <c r="K4" s="284"/>
      <c r="O4" s="1" t="s">
        <v>206</v>
      </c>
    </row>
    <row r="5" spans="1:15" s="1" customFormat="1" ht="16.5" customHeight="1" x14ac:dyDescent="0.2">
      <c r="A5" s="321" t="s">
        <v>179</v>
      </c>
      <c r="B5" s="283"/>
      <c r="C5" s="285">
        <v>0</v>
      </c>
      <c r="D5" s="1" t="s">
        <v>203</v>
      </c>
      <c r="K5" s="284"/>
    </row>
    <row r="6" spans="1:15" s="1" customFormat="1" ht="16.5" customHeight="1" x14ac:dyDescent="0.2">
      <c r="A6" s="321" t="s">
        <v>240</v>
      </c>
      <c r="B6" s="283"/>
      <c r="C6" s="285">
        <v>0</v>
      </c>
      <c r="D6" s="1" t="s">
        <v>203</v>
      </c>
      <c r="K6" s="284"/>
    </row>
    <row r="7" spans="1:15" s="1" customFormat="1" ht="16.5" customHeight="1" x14ac:dyDescent="0.2">
      <c r="A7" s="321" t="s">
        <v>241</v>
      </c>
      <c r="B7" s="283"/>
      <c r="C7" s="285">
        <v>0</v>
      </c>
      <c r="D7" s="1" t="s">
        <v>203</v>
      </c>
      <c r="K7" s="284"/>
    </row>
    <row r="8" spans="1:15" s="1" customFormat="1" ht="16.5" customHeight="1" x14ac:dyDescent="0.2">
      <c r="A8" s="321" t="s">
        <v>202</v>
      </c>
      <c r="B8" s="283"/>
      <c r="C8" s="285">
        <v>0</v>
      </c>
      <c r="D8" s="1" t="s">
        <v>203</v>
      </c>
      <c r="K8" s="284"/>
    </row>
    <row r="10" spans="1:15" ht="22.5" customHeight="1" x14ac:dyDescent="0.2">
      <c r="A10" s="635" t="s">
        <v>164</v>
      </c>
      <c r="B10" s="635"/>
      <c r="C10" s="254" t="str">
        <f>'12'!G3</f>
        <v>AAAAA BBBBB</v>
      </c>
    </row>
    <row r="11" spans="1:15" s="83" customFormat="1" ht="24" customHeight="1" x14ac:dyDescent="0.2">
      <c r="A11" s="636" t="s">
        <v>194</v>
      </c>
      <c r="B11" s="636"/>
      <c r="C11" s="256">
        <f ca="1">Steuern!J89</f>
        <v>0</v>
      </c>
      <c r="K11" s="257"/>
    </row>
    <row r="12" spans="1:15" s="83" customFormat="1" ht="24" customHeight="1" x14ac:dyDescent="0.2">
      <c r="A12" s="255"/>
      <c r="B12" s="255"/>
      <c r="C12" s="256"/>
      <c r="K12" s="257"/>
    </row>
    <row r="13" spans="1:15" x14ac:dyDescent="0.2">
      <c r="A13" s="258" t="s">
        <v>165</v>
      </c>
    </row>
    <row r="14" spans="1:15" ht="5.25" customHeight="1" x14ac:dyDescent="0.2"/>
    <row r="15" spans="1:15" x14ac:dyDescent="0.2">
      <c r="A15" s="259">
        <v>0</v>
      </c>
      <c r="B15" s="259">
        <v>8000</v>
      </c>
      <c r="C15" s="260">
        <f ca="1">IF(AND(C$11&lt;=$B$15,C$11&gt;$A$15),$D$15,0)</f>
        <v>0</v>
      </c>
      <c r="D15" s="261">
        <v>1840</v>
      </c>
      <c r="J15" s="262"/>
    </row>
    <row r="16" spans="1:15" ht="15" x14ac:dyDescent="0.2">
      <c r="A16" s="259">
        <v>8001</v>
      </c>
      <c r="B16" s="259">
        <v>15000</v>
      </c>
      <c r="C16" s="260">
        <f ca="1">ROUND(IF(AND(C$11&lt;=$B$16,C$11&gt;=$A$16),$D16+$K$16*ROUNDDOWN(($L$16-C$11)/$M$16,4),0),2)</f>
        <v>0</v>
      </c>
      <c r="D16" s="261">
        <v>1338</v>
      </c>
      <c r="E16" s="263" t="s">
        <v>166</v>
      </c>
      <c r="F16" s="264" t="s">
        <v>167</v>
      </c>
      <c r="G16" s="264"/>
      <c r="H16" s="264"/>
      <c r="I16" s="264"/>
      <c r="J16" s="262"/>
      <c r="K16" s="265">
        <v>502</v>
      </c>
      <c r="L16" s="265">
        <v>15000</v>
      </c>
      <c r="M16" s="265">
        <v>7000</v>
      </c>
      <c r="N16" s="266"/>
    </row>
    <row r="17" spans="1:14" x14ac:dyDescent="0.2">
      <c r="A17" s="259">
        <v>15001</v>
      </c>
      <c r="B17" s="259">
        <v>23000</v>
      </c>
      <c r="C17" s="260">
        <f t="shared" ref="C17:C23" ca="1" si="0">ROUND(IF(AND(C$11&lt;=$B17,C$11&gt;=$A17),$J17+$D17*ROUNDDOWN(($K$17-C$11)/$L$17,4),0),2)</f>
        <v>0</v>
      </c>
      <c r="D17" s="261">
        <v>1338</v>
      </c>
      <c r="E17" s="267" t="s">
        <v>168</v>
      </c>
      <c r="F17" s="264" t="s">
        <v>169</v>
      </c>
      <c r="G17" s="264"/>
      <c r="H17" s="264"/>
      <c r="I17" s="264"/>
      <c r="J17" s="262"/>
      <c r="K17" s="268">
        <v>55000</v>
      </c>
      <c r="L17" s="265">
        <v>40000</v>
      </c>
      <c r="M17" s="265"/>
      <c r="N17" s="266"/>
    </row>
    <row r="18" spans="1:14" x14ac:dyDescent="0.2">
      <c r="A18" s="259">
        <v>23001</v>
      </c>
      <c r="B18" s="259">
        <v>24000</v>
      </c>
      <c r="C18" s="260">
        <f t="shared" ca="1" si="0"/>
        <v>0</v>
      </c>
      <c r="D18" s="261">
        <v>1338</v>
      </c>
      <c r="E18" s="267" t="s">
        <v>168</v>
      </c>
      <c r="F18" s="264" t="s">
        <v>170</v>
      </c>
      <c r="G18" s="264"/>
      <c r="H18" s="264"/>
      <c r="I18" s="264"/>
      <c r="J18" s="262">
        <v>10</v>
      </c>
      <c r="K18" s="269"/>
      <c r="L18" s="265"/>
      <c r="M18" s="265"/>
      <c r="N18" s="266"/>
    </row>
    <row r="19" spans="1:14" x14ac:dyDescent="0.2">
      <c r="A19" s="259">
        <v>24001</v>
      </c>
      <c r="B19" s="259">
        <v>25000</v>
      </c>
      <c r="C19" s="260">
        <f t="shared" ca="1" si="0"/>
        <v>0</v>
      </c>
      <c r="D19" s="261">
        <v>1338</v>
      </c>
      <c r="E19" s="267" t="s">
        <v>168</v>
      </c>
      <c r="F19" s="264" t="s">
        <v>170</v>
      </c>
      <c r="G19" s="264"/>
      <c r="H19" s="264"/>
      <c r="I19" s="264"/>
      <c r="J19" s="262">
        <v>20</v>
      </c>
      <c r="K19" s="269"/>
      <c r="L19" s="265"/>
      <c r="M19" s="265"/>
      <c r="N19" s="266"/>
    </row>
    <row r="20" spans="1:14" x14ac:dyDescent="0.2">
      <c r="A20" s="259">
        <v>25001</v>
      </c>
      <c r="B20" s="259">
        <v>26000</v>
      </c>
      <c r="C20" s="260">
        <f t="shared" ca="1" si="0"/>
        <v>0</v>
      </c>
      <c r="D20" s="261">
        <v>1338</v>
      </c>
      <c r="E20" s="267" t="s">
        <v>168</v>
      </c>
      <c r="F20" s="264" t="s">
        <v>170</v>
      </c>
      <c r="G20" s="264"/>
      <c r="H20" s="264"/>
      <c r="I20" s="264"/>
      <c r="J20" s="262">
        <v>30</v>
      </c>
      <c r="K20" s="269"/>
      <c r="L20" s="265"/>
      <c r="M20" s="265"/>
      <c r="N20" s="266"/>
    </row>
    <row r="21" spans="1:14" x14ac:dyDescent="0.2">
      <c r="A21" s="259">
        <v>26001</v>
      </c>
      <c r="B21" s="259">
        <v>27700</v>
      </c>
      <c r="C21" s="260">
        <f t="shared" ca="1" si="0"/>
        <v>0</v>
      </c>
      <c r="D21" s="261">
        <v>1338</v>
      </c>
      <c r="E21" s="267" t="s">
        <v>168</v>
      </c>
      <c r="F21" s="264" t="s">
        <v>170</v>
      </c>
      <c r="G21" s="264"/>
      <c r="H21" s="264"/>
      <c r="I21" s="264"/>
      <c r="J21" s="262">
        <v>40</v>
      </c>
      <c r="K21" s="269"/>
      <c r="L21" s="265"/>
      <c r="M21" s="265"/>
      <c r="N21" s="266"/>
    </row>
    <row r="22" spans="1:14" x14ac:dyDescent="0.2">
      <c r="A22" s="259">
        <v>27701</v>
      </c>
      <c r="B22" s="259">
        <v>28000</v>
      </c>
      <c r="C22" s="260">
        <f t="shared" ca="1" si="0"/>
        <v>0</v>
      </c>
      <c r="D22" s="261">
        <v>1338</v>
      </c>
      <c r="E22" s="267" t="s">
        <v>168</v>
      </c>
      <c r="F22" s="264" t="s">
        <v>170</v>
      </c>
      <c r="G22" s="264"/>
      <c r="H22" s="264"/>
      <c r="I22" s="264"/>
      <c r="J22" s="262">
        <v>25</v>
      </c>
      <c r="K22" s="269"/>
      <c r="L22" s="265"/>
      <c r="M22" s="265"/>
      <c r="N22" s="266"/>
    </row>
    <row r="23" spans="1:14" x14ac:dyDescent="0.2">
      <c r="A23" s="259">
        <v>28001</v>
      </c>
      <c r="B23" s="259">
        <v>55000</v>
      </c>
      <c r="C23" s="260">
        <f t="shared" ca="1" si="0"/>
        <v>0</v>
      </c>
      <c r="D23" s="261">
        <v>1338</v>
      </c>
      <c r="E23" s="267" t="s">
        <v>168</v>
      </c>
      <c r="F23" s="264" t="s">
        <v>170</v>
      </c>
      <c r="G23" s="264"/>
      <c r="H23" s="264"/>
    </row>
    <row r="26" spans="1:14" x14ac:dyDescent="0.2">
      <c r="A26" s="258" t="s">
        <v>171</v>
      </c>
    </row>
    <row r="27" spans="1:14" ht="5.25" customHeight="1" x14ac:dyDescent="0.2"/>
    <row r="28" spans="1:14" ht="12" customHeight="1" x14ac:dyDescent="0.2">
      <c r="A28" s="259">
        <v>0</v>
      </c>
      <c r="B28" s="259">
        <v>15000</v>
      </c>
      <c r="C28" s="260">
        <f ca="1">ROUND(IF(AND(C$11&lt;=$B$28,C$11&gt;$A$28),$D28-$K$29*C$11/$L$29,0),2)</f>
        <v>0</v>
      </c>
      <c r="D28" s="261">
        <v>800</v>
      </c>
      <c r="E28" s="270" t="s">
        <v>172</v>
      </c>
      <c r="F28" t="s">
        <v>173</v>
      </c>
      <c r="J28" s="262"/>
    </row>
    <row r="29" spans="1:14" ht="12" customHeight="1" x14ac:dyDescent="0.2">
      <c r="A29" s="259">
        <v>15001</v>
      </c>
      <c r="B29" s="259">
        <v>29000</v>
      </c>
      <c r="C29" s="260">
        <f t="shared" ref="C29:C35" ca="1" si="1">ROUND(IF(AND(C$11&lt;=$B29,C$11&gt;=$A29),$D29,0),2)</f>
        <v>0</v>
      </c>
      <c r="D29" s="261">
        <v>690</v>
      </c>
      <c r="E29" s="263"/>
      <c r="F29" s="264"/>
      <c r="G29" s="264"/>
      <c r="H29" s="264"/>
      <c r="I29" s="264"/>
      <c r="J29" s="262"/>
      <c r="K29" s="265">
        <v>110</v>
      </c>
      <c r="L29" s="265">
        <v>15000</v>
      </c>
      <c r="M29" s="265"/>
      <c r="N29" s="266"/>
    </row>
    <row r="30" spans="1:14" ht="12" customHeight="1" x14ac:dyDescent="0.2">
      <c r="A30" s="259">
        <v>29001</v>
      </c>
      <c r="B30" s="259">
        <v>29200</v>
      </c>
      <c r="C30" s="260">
        <f t="shared" ca="1" si="1"/>
        <v>0</v>
      </c>
      <c r="D30" s="261">
        <v>700</v>
      </c>
      <c r="E30" s="267"/>
      <c r="F30" s="264"/>
      <c r="G30" s="264"/>
      <c r="H30" s="264"/>
      <c r="I30" s="264"/>
      <c r="J30" s="262"/>
      <c r="K30" s="268">
        <v>80000</v>
      </c>
      <c r="L30" s="265">
        <v>40000</v>
      </c>
      <c r="M30" s="265"/>
      <c r="N30" s="266"/>
    </row>
    <row r="31" spans="1:14" ht="12" customHeight="1" x14ac:dyDescent="0.2">
      <c r="A31" s="259">
        <v>29201</v>
      </c>
      <c r="B31" s="259">
        <v>34700</v>
      </c>
      <c r="C31" s="260">
        <f t="shared" ca="1" si="1"/>
        <v>0</v>
      </c>
      <c r="D31" s="261">
        <v>710</v>
      </c>
      <c r="E31" s="267"/>
      <c r="F31" s="264"/>
      <c r="G31" s="264"/>
      <c r="H31" s="264"/>
      <c r="I31" s="264"/>
      <c r="J31" s="262"/>
      <c r="K31" s="269"/>
      <c r="L31" s="265"/>
      <c r="M31" s="265"/>
      <c r="N31" s="266"/>
    </row>
    <row r="32" spans="1:14" ht="12" customHeight="1" x14ac:dyDescent="0.2">
      <c r="A32" s="259">
        <v>34701</v>
      </c>
      <c r="B32" s="259">
        <v>35000</v>
      </c>
      <c r="C32" s="260">
        <f t="shared" ca="1" si="1"/>
        <v>0</v>
      </c>
      <c r="D32" s="261">
        <v>720</v>
      </c>
      <c r="E32" s="267"/>
      <c r="F32" s="264"/>
      <c r="G32" s="264"/>
      <c r="H32" s="264"/>
      <c r="I32" s="264"/>
      <c r="J32" s="262"/>
      <c r="K32" s="269"/>
      <c r="L32" s="265"/>
      <c r="M32" s="265"/>
      <c r="N32" s="266"/>
    </row>
    <row r="33" spans="1:14" ht="12" customHeight="1" x14ac:dyDescent="0.2">
      <c r="A33" s="259">
        <v>35001</v>
      </c>
      <c r="B33" s="259">
        <v>35100</v>
      </c>
      <c r="C33" s="260">
        <f t="shared" ca="1" si="1"/>
        <v>0</v>
      </c>
      <c r="D33" s="261">
        <v>710</v>
      </c>
      <c r="E33" s="267"/>
      <c r="F33" s="264"/>
      <c r="G33" s="264"/>
      <c r="H33" s="264"/>
      <c r="I33" s="264"/>
      <c r="J33" s="262"/>
      <c r="K33" s="269"/>
      <c r="L33" s="265"/>
      <c r="M33" s="265"/>
      <c r="N33" s="266"/>
    </row>
    <row r="34" spans="1:14" ht="12" customHeight="1" x14ac:dyDescent="0.2">
      <c r="A34" s="259">
        <v>35101</v>
      </c>
      <c r="B34" s="259">
        <v>35200</v>
      </c>
      <c r="C34" s="260">
        <f t="shared" ca="1" si="1"/>
        <v>0</v>
      </c>
      <c r="D34" s="261">
        <v>700</v>
      </c>
      <c r="E34" s="267"/>
      <c r="F34" s="264"/>
      <c r="G34" s="264"/>
      <c r="H34" s="264"/>
      <c r="I34" s="264"/>
      <c r="J34" s="262"/>
      <c r="K34" s="269"/>
      <c r="L34" s="265"/>
      <c r="M34" s="265"/>
      <c r="N34" s="266"/>
    </row>
    <row r="35" spans="1:14" ht="12" customHeight="1" x14ac:dyDescent="0.2">
      <c r="A35" s="259">
        <v>35201</v>
      </c>
      <c r="B35" s="259">
        <v>40000</v>
      </c>
      <c r="C35" s="260">
        <f t="shared" ca="1" si="1"/>
        <v>0</v>
      </c>
      <c r="D35" s="261">
        <v>690</v>
      </c>
      <c r="E35" s="267"/>
      <c r="F35" s="264"/>
      <c r="G35" s="264"/>
      <c r="H35" s="264"/>
      <c r="I35" s="264"/>
      <c r="J35" s="262"/>
      <c r="K35" s="269"/>
      <c r="L35" s="265"/>
      <c r="M35" s="265"/>
      <c r="N35" s="266"/>
    </row>
    <row r="36" spans="1:14" ht="12" customHeight="1" x14ac:dyDescent="0.2">
      <c r="A36" s="259">
        <v>40001</v>
      </c>
      <c r="B36" s="259">
        <v>80000</v>
      </c>
      <c r="C36" s="260">
        <f ca="1">ROUND(IF(AND(C$11&lt;=$B36,C$11&gt;=$A36),$D36*ROUNDDOWN(($K$30-C11)/$L$30,4),0),2)</f>
        <v>0</v>
      </c>
      <c r="D36" s="261">
        <v>690</v>
      </c>
      <c r="E36" s="267" t="s">
        <v>168</v>
      </c>
      <c r="F36" s="264" t="s">
        <v>174</v>
      </c>
      <c r="G36" s="264"/>
      <c r="H36" s="264"/>
    </row>
    <row r="37" spans="1:14" ht="12" customHeight="1" x14ac:dyDescent="0.2">
      <c r="A37" s="259">
        <v>80001</v>
      </c>
      <c r="B37" s="259"/>
      <c r="D37" s="271" t="s">
        <v>175</v>
      </c>
    </row>
    <row r="38" spans="1:14" x14ac:dyDescent="0.2">
      <c r="A38" s="259"/>
    </row>
    <row r="39" spans="1:14" x14ac:dyDescent="0.2">
      <c r="A39" s="259"/>
      <c r="E39" s="6"/>
      <c r="F39" s="6"/>
    </row>
    <row r="40" spans="1:14" s="6" customFormat="1" ht="12" customHeight="1" x14ac:dyDescent="0.2">
      <c r="A40" s="272" t="s">
        <v>176</v>
      </c>
      <c r="B40" s="272"/>
      <c r="C40" s="272"/>
    </row>
    <row r="41" spans="1:14" s="6" customFormat="1" ht="2.25" customHeight="1" x14ac:dyDescent="0.2">
      <c r="A41" s="273"/>
      <c r="B41" s="273"/>
      <c r="C41" s="273"/>
    </row>
    <row r="42" spans="1:14" s="3" customFormat="1" ht="12" customHeight="1" x14ac:dyDescent="0.2">
      <c r="A42" s="3" t="s">
        <v>177</v>
      </c>
      <c r="C42" s="260">
        <f>$G$42*C4</f>
        <v>0</v>
      </c>
      <c r="D42" s="274" t="s">
        <v>178</v>
      </c>
      <c r="E42" s="259"/>
      <c r="F42" s="259"/>
      <c r="G42" s="275">
        <v>1220</v>
      </c>
      <c r="H42" s="9"/>
    </row>
    <row r="43" spans="1:14" s="276" customFormat="1" ht="12" customHeight="1" x14ac:dyDescent="0.2">
      <c r="A43" s="274" t="s">
        <v>179</v>
      </c>
      <c r="C43" s="260">
        <f>$G$43*C5</f>
        <v>0</v>
      </c>
      <c r="D43" s="274" t="s">
        <v>180</v>
      </c>
      <c r="G43" s="275">
        <v>950</v>
      </c>
      <c r="H43" s="9"/>
    </row>
    <row r="44" spans="1:14" s="277" customFormat="1" ht="12" customHeight="1" x14ac:dyDescent="0.2">
      <c r="A44" s="274" t="s">
        <v>181</v>
      </c>
      <c r="C44" s="260">
        <f>IF(C4+C5&gt;=4,$G$44*(C4+C5),0)</f>
        <v>0</v>
      </c>
      <c r="D44" s="278" t="s">
        <v>183</v>
      </c>
      <c r="G44" s="275">
        <v>200</v>
      </c>
      <c r="H44" s="9"/>
    </row>
    <row r="45" spans="1:14" s="4" customFormat="1" ht="12" customHeight="1" x14ac:dyDescent="0.2">
      <c r="A45" s="30" t="s">
        <v>238</v>
      </c>
      <c r="C45" s="260">
        <f>$G$45*C6</f>
        <v>0</v>
      </c>
      <c r="D45" s="274" t="s">
        <v>182</v>
      </c>
      <c r="G45" s="261">
        <v>550</v>
      </c>
      <c r="H45" s="70" t="s">
        <v>184</v>
      </c>
    </row>
    <row r="46" spans="1:14" s="4" customFormat="1" ht="12" customHeight="1" x14ac:dyDescent="0.2">
      <c r="A46" s="30" t="s">
        <v>239</v>
      </c>
      <c r="C46" s="260">
        <f>$G$45*C7</f>
        <v>0</v>
      </c>
      <c r="D46" s="274" t="s">
        <v>182</v>
      </c>
      <c r="G46" s="261">
        <v>620</v>
      </c>
      <c r="H46" s="70" t="s">
        <v>184</v>
      </c>
    </row>
    <row r="47" spans="1:14" x14ac:dyDescent="0.2">
      <c r="A47" s="279" t="s">
        <v>185</v>
      </c>
      <c r="C47" s="260"/>
    </row>
    <row r="48" spans="1:14" x14ac:dyDescent="0.2">
      <c r="A48" s="279" t="s">
        <v>186</v>
      </c>
      <c r="C48" s="260">
        <f>SUM(C42:C47)</f>
        <v>0</v>
      </c>
      <c r="D48" s="637" t="s">
        <v>187</v>
      </c>
      <c r="E48" s="637"/>
      <c r="F48" s="638" t="s">
        <v>188</v>
      </c>
      <c r="G48" s="638"/>
      <c r="H48" s="638"/>
      <c r="I48" s="638"/>
      <c r="J48" s="638"/>
      <c r="K48" s="638"/>
      <c r="L48" s="280"/>
      <c r="M48" s="280"/>
    </row>
    <row r="49" spans="1:14" x14ac:dyDescent="0.2">
      <c r="A49" s="279" t="s">
        <v>189</v>
      </c>
      <c r="C49" s="281">
        <f ca="1">(L49+M49*(N49-1)-C11)/(L49+M49*(N49-1))</f>
        <v>1</v>
      </c>
      <c r="D49" s="637"/>
      <c r="E49" s="637"/>
      <c r="F49" s="639" t="s">
        <v>190</v>
      </c>
      <c r="G49" s="639"/>
      <c r="H49" s="639"/>
      <c r="I49" s="639"/>
      <c r="J49" s="639"/>
      <c r="K49" s="639"/>
      <c r="L49" s="268">
        <v>95000</v>
      </c>
      <c r="M49" s="268">
        <v>15000</v>
      </c>
      <c r="N49" s="268">
        <f>SUM(C4:C5)</f>
        <v>0</v>
      </c>
    </row>
    <row r="50" spans="1:14" x14ac:dyDescent="0.2">
      <c r="A50" s="279" t="s">
        <v>191</v>
      </c>
      <c r="C50" s="260">
        <f ca="1">ROUND(C48*C49,2)</f>
        <v>0</v>
      </c>
      <c r="D50" s="265">
        <v>95000</v>
      </c>
      <c r="L50" s="268"/>
      <c r="M50" s="268"/>
      <c r="N50" s="268"/>
    </row>
    <row r="51" spans="1:14" x14ac:dyDescent="0.2">
      <c r="D51" s="265">
        <v>15000</v>
      </c>
      <c r="L51" s="268"/>
      <c r="M51" s="268"/>
      <c r="N51" s="268"/>
    </row>
    <row r="53" spans="1:14" x14ac:dyDescent="0.2">
      <c r="A53" s="258" t="s">
        <v>192</v>
      </c>
    </row>
    <row r="54" spans="1:14" ht="5.25" customHeight="1" x14ac:dyDescent="0.2"/>
    <row r="55" spans="1:14" ht="12" customHeight="1" x14ac:dyDescent="0.2">
      <c r="A55" s="259" t="s">
        <v>198</v>
      </c>
      <c r="B55" s="259"/>
      <c r="C55" s="282">
        <f>C8</f>
        <v>0</v>
      </c>
      <c r="D55" s="261">
        <v>750</v>
      </c>
      <c r="E55" s="267" t="s">
        <v>168</v>
      </c>
      <c r="F55" s="264" t="s">
        <v>193</v>
      </c>
      <c r="G55" s="264"/>
      <c r="H55" s="264"/>
      <c r="J55" s="268">
        <v>80000</v>
      </c>
    </row>
    <row r="56" spans="1:14" ht="12" customHeight="1" x14ac:dyDescent="0.2">
      <c r="A56" s="279" t="s">
        <v>189</v>
      </c>
      <c r="C56" s="281">
        <f ca="1">ROUNDDOWN(($J$55-C11)/$J$55,4)</f>
        <v>1</v>
      </c>
      <c r="D56" s="271"/>
    </row>
    <row r="57" spans="1:14" x14ac:dyDescent="0.2">
      <c r="A57" s="279" t="s">
        <v>199</v>
      </c>
      <c r="C57" s="260">
        <f ca="1">ROUND($D$55*C56,2)</f>
        <v>750</v>
      </c>
    </row>
    <row r="58" spans="1:14" x14ac:dyDescent="0.2">
      <c r="A58" s="279" t="s">
        <v>200</v>
      </c>
      <c r="C58" s="260">
        <f ca="1">C57*C55</f>
        <v>0</v>
      </c>
    </row>
    <row r="60" spans="1:14" x14ac:dyDescent="0.2">
      <c r="A60" t="s">
        <v>195</v>
      </c>
      <c r="F60">
        <f ca="1">ROUND(SUM(C15:C23)/Steuern!D108*Steuern!F107,2)</f>
        <v>0</v>
      </c>
    </row>
    <row r="61" spans="1:14" x14ac:dyDescent="0.2">
      <c r="A61" t="s">
        <v>171</v>
      </c>
      <c r="F61">
        <f>IF(C3="ja",ROUND(SUM(C28:C37)/Steuern!A107*Steuern!C107,2),0)</f>
        <v>0</v>
      </c>
    </row>
    <row r="62" spans="1:14" x14ac:dyDescent="0.2">
      <c r="A62" t="s">
        <v>196</v>
      </c>
      <c r="F62">
        <f ca="1">ROUND(IF(C3="ja",ROUND(C50/Steuern!A107*Steuern!C107,2),ROUND(C50/Steuern!A107*Steuern!C107,2)/2),2)</f>
        <v>0</v>
      </c>
    </row>
    <row r="63" spans="1:14" x14ac:dyDescent="0.2">
      <c r="A63" t="s">
        <v>197</v>
      </c>
      <c r="F63">
        <f ca="1">ROUND(C58/Steuern!A107*Steuern!C107,2)</f>
        <v>0</v>
      </c>
      <c r="G63">
        <f ca="1">SUM(F61:F63)</f>
        <v>0</v>
      </c>
    </row>
  </sheetData>
  <mergeCells count="5">
    <mergeCell ref="A10:B10"/>
    <mergeCell ref="A11:B11"/>
    <mergeCell ref="D48:E49"/>
    <mergeCell ref="F48:K48"/>
    <mergeCell ref="F49:K49"/>
  </mergeCells>
  <phoneticPr fontId="2" type="noConversion"/>
  <dataValidations count="1">
    <dataValidation type="list" allowBlank="1" showInputMessage="1" showErrorMessage="1" sqref="C3" xr:uid="{00000000-0002-0000-0E00-000000000000}">
      <formula1>$O$3:$O$4</formula1>
    </dataValidation>
  </dataValidations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Tabelle15"/>
  <dimension ref="A1:R108"/>
  <sheetViews>
    <sheetView showGridLines="0" workbookViewId="0">
      <selection activeCell="B1" sqref="B1"/>
    </sheetView>
  </sheetViews>
  <sheetFormatPr baseColWidth="10" defaultColWidth="11.5703125" defaultRowHeight="12.75" x14ac:dyDescent="0.2"/>
  <cols>
    <col min="1" max="1" width="4.85546875" style="1" customWidth="1"/>
    <col min="2" max="3" width="5.28515625" style="1" customWidth="1"/>
    <col min="4" max="4" width="9.5703125" style="1" customWidth="1"/>
    <col min="5" max="5" width="9.140625" style="1" customWidth="1"/>
    <col min="6" max="6" width="9.5703125" style="1" customWidth="1"/>
    <col min="7" max="9" width="11.5703125" style="1" customWidth="1"/>
    <col min="10" max="10" width="8.7109375" style="1" customWidth="1"/>
    <col min="11" max="11" width="8.5703125" style="1" customWidth="1"/>
    <col min="12" max="16384" width="11.5703125" style="1"/>
  </cols>
  <sheetData>
    <row r="1" spans="1:14" ht="15.75" x14ac:dyDescent="0.2">
      <c r="A1" s="139" t="str">
        <f>'01'!G3</f>
        <v>AAAAA BBBBB</v>
      </c>
      <c r="H1" s="195"/>
    </row>
    <row r="2" spans="1:14" ht="12" customHeight="1" x14ac:dyDescent="0.2"/>
    <row r="3" spans="1:14" ht="12" customHeight="1" x14ac:dyDescent="0.2"/>
    <row r="4" spans="1:14" x14ac:dyDescent="0.2">
      <c r="A4" s="9" t="s">
        <v>56</v>
      </c>
    </row>
    <row r="6" spans="1:14" x14ac:dyDescent="0.2">
      <c r="A6" s="9" t="s">
        <v>57</v>
      </c>
    </row>
    <row r="7" spans="1:14" ht="4.1500000000000004" customHeight="1" x14ac:dyDescent="0.2"/>
    <row r="8" spans="1:14" s="30" customFormat="1" ht="28.5" customHeight="1" x14ac:dyDescent="0.2">
      <c r="A8" s="649" t="s">
        <v>58</v>
      </c>
      <c r="B8" s="649" t="s">
        <v>59</v>
      </c>
      <c r="C8" s="649" t="s">
        <v>60</v>
      </c>
      <c r="D8" s="649" t="s">
        <v>61</v>
      </c>
      <c r="E8" s="649" t="s">
        <v>62</v>
      </c>
      <c r="F8" s="649" t="s">
        <v>63</v>
      </c>
    </row>
    <row r="9" spans="1:14" s="30" customFormat="1" ht="28.5" customHeight="1" x14ac:dyDescent="0.2">
      <c r="A9" s="649"/>
      <c r="B9" s="649"/>
      <c r="C9" s="650"/>
      <c r="D9" s="649"/>
      <c r="E9" s="649"/>
      <c r="F9" s="649"/>
    </row>
    <row r="10" spans="1:14" s="32" customFormat="1" ht="21.75" customHeight="1" x14ac:dyDescent="0.2">
      <c r="A10" s="33">
        <v>2003</v>
      </c>
      <c r="B10" s="33">
        <v>12</v>
      </c>
      <c r="C10" s="33">
        <v>365</v>
      </c>
      <c r="D10" s="34">
        <v>3000</v>
      </c>
      <c r="E10" s="34">
        <v>4500</v>
      </c>
      <c r="F10" s="34">
        <v>26000</v>
      </c>
    </row>
    <row r="11" spans="1:14" s="32" customFormat="1" ht="12" x14ac:dyDescent="0.2"/>
    <row r="12" spans="1:14" s="32" customFormat="1" ht="12" x14ac:dyDescent="0.2"/>
    <row r="13" spans="1:14" s="30" customFormat="1" ht="39" customHeight="1" x14ac:dyDescent="0.2">
      <c r="A13" s="643" t="s">
        <v>64</v>
      </c>
      <c r="B13" s="643" t="s">
        <v>84</v>
      </c>
      <c r="C13" s="643" t="s">
        <v>85</v>
      </c>
      <c r="D13" s="643" t="s">
        <v>135</v>
      </c>
      <c r="E13" s="643" t="s">
        <v>86</v>
      </c>
      <c r="F13" s="643" t="s">
        <v>87</v>
      </c>
      <c r="G13" s="643" t="s">
        <v>65</v>
      </c>
      <c r="H13" s="643" t="s">
        <v>66</v>
      </c>
      <c r="I13" s="643" t="s">
        <v>67</v>
      </c>
      <c r="J13" s="643" t="s">
        <v>68</v>
      </c>
      <c r="K13" s="643" t="s">
        <v>69</v>
      </c>
      <c r="L13" s="654" t="s">
        <v>71</v>
      </c>
      <c r="M13" s="643" t="s">
        <v>70</v>
      </c>
      <c r="N13" s="643" t="s">
        <v>70</v>
      </c>
    </row>
    <row r="14" spans="1:14" s="30" customFormat="1" ht="39" customHeight="1" x14ac:dyDescent="0.2">
      <c r="A14" s="644"/>
      <c r="B14" s="644"/>
      <c r="C14" s="644"/>
      <c r="D14" s="644"/>
      <c r="E14" s="644"/>
      <c r="F14" s="645"/>
      <c r="G14" s="651"/>
      <c r="H14" s="651"/>
      <c r="I14" s="651"/>
      <c r="J14" s="651"/>
      <c r="K14" s="651"/>
      <c r="L14" s="655"/>
      <c r="M14" s="651"/>
      <c r="N14" s="651"/>
    </row>
    <row r="15" spans="1:14" s="32" customFormat="1" ht="13.9" customHeight="1" x14ac:dyDescent="0.2">
      <c r="A15" s="37">
        <v>1</v>
      </c>
      <c r="B15" s="37">
        <f t="shared" ref="B15:B28" ca="1" si="0">IF(A15&gt;12,0,IF(G15=0,0,1))</f>
        <v>0</v>
      </c>
      <c r="C15" s="37">
        <f ca="1">B15</f>
        <v>0</v>
      </c>
      <c r="D15" s="37">
        <v>31</v>
      </c>
      <c r="E15" s="37">
        <f ca="1">IF('01'!$R$9="",IF(G15=0,0,D15),'01'!$R$9)</f>
        <v>0</v>
      </c>
      <c r="F15" s="37">
        <f ca="1">E15</f>
        <v>0</v>
      </c>
      <c r="G15" s="38">
        <f ca="1">'01'!$H$38</f>
        <v>0</v>
      </c>
      <c r="H15" s="38">
        <f ca="1">G15</f>
        <v>0</v>
      </c>
      <c r="I15" s="39">
        <f t="shared" ref="I15:I20" ca="1" si="1">IF(G15=0,0,ROUNDDOWN(IF($A15&gt;12,0,(($F$10/$B$10+$D$10/$B$10)*$C15+$E$10/$C$10*$F15-$H15)/($F$10/$B$10*$C15)),4))</f>
        <v>0</v>
      </c>
      <c r="J15" s="38">
        <f ca="1">IF(A15&gt;12,0,ROUND($D$10/$B$10*C15+$E$10/$C$10*F15,2))</f>
        <v>0</v>
      </c>
      <c r="K15" s="38">
        <f ca="1">IF(G15=0,0,IF(I15&gt;1,J15,IF(I15&lt;0,0,ROUND(J15*I15,2))))</f>
        <v>0</v>
      </c>
      <c r="L15" s="40">
        <f ca="1">IF(G15=0,0,IF(K15&gt;G15,G15,K15))</f>
        <v>0</v>
      </c>
      <c r="M15" s="38">
        <f ca="1">IF(G15=0,0,L15)</f>
        <v>0</v>
      </c>
      <c r="N15" s="38">
        <f ca="1">IF(H15=0,0,M15)</f>
        <v>0</v>
      </c>
    </row>
    <row r="16" spans="1:14" s="32" customFormat="1" ht="13.9" customHeight="1" x14ac:dyDescent="0.2">
      <c r="A16" s="41">
        <v>2</v>
      </c>
      <c r="B16" s="41">
        <f t="shared" ca="1" si="0"/>
        <v>0</v>
      </c>
      <c r="C16" s="41">
        <f ca="1">C15+B16</f>
        <v>0</v>
      </c>
      <c r="D16" s="41">
        <v>28</v>
      </c>
      <c r="E16" s="41">
        <f ca="1">IF('02'!$R$9="",IF(G16=0,0,D16),'02'!$R$9)</f>
        <v>0</v>
      </c>
      <c r="F16" s="41">
        <f ca="1">F15+E16</f>
        <v>0</v>
      </c>
      <c r="G16" s="42">
        <f ca="1">'02'!$H$38</f>
        <v>0</v>
      </c>
      <c r="H16" s="42">
        <f ca="1">H15+G16</f>
        <v>0</v>
      </c>
      <c r="I16" s="43">
        <f t="shared" ca="1" si="1"/>
        <v>0</v>
      </c>
      <c r="J16" s="42">
        <f t="shared" ref="J16:J28" ca="1" si="2">IF(A16&gt;12,0,ROUND($D$10/$B$10*C16+$E$10/$C$10*F16,2))</f>
        <v>0</v>
      </c>
      <c r="K16" s="42">
        <f t="shared" ref="K16:K28" ca="1" si="3">IF(G16=0,0,IF(I16&gt;1,J16,IF(I16&lt;0,0,ROUND(J16*I16,2))))</f>
        <v>0</v>
      </c>
      <c r="L16" s="44">
        <f t="shared" ref="L16:L28" ca="1" si="4">IF(D16=0,0,IF(G16=0,0,IF((K16-M15)&gt;G16,G16,IF(K15=0,K16-K14,K16-K15))))</f>
        <v>0</v>
      </c>
      <c r="M16" s="42">
        <f t="shared" ref="M16:M28" ca="1" si="5">IF(G16=0,0,M15+L16)</f>
        <v>0</v>
      </c>
      <c r="N16" s="42">
        <f ca="1">IF(H16=0,0,N15+L16)</f>
        <v>0</v>
      </c>
    </row>
    <row r="17" spans="1:14" s="32" customFormat="1" ht="13.9" customHeight="1" x14ac:dyDescent="0.2">
      <c r="A17" s="41">
        <v>3</v>
      </c>
      <c r="B17" s="41">
        <f t="shared" ca="1" si="0"/>
        <v>0</v>
      </c>
      <c r="C17" s="41">
        <f t="shared" ref="C17:C28" ca="1" si="6">C16+B17</f>
        <v>0</v>
      </c>
      <c r="D17" s="41">
        <v>31</v>
      </c>
      <c r="E17" s="41">
        <f ca="1">IF('03'!$R$9="",IF(G17=0,0,D17),'03'!$R$9)</f>
        <v>0</v>
      </c>
      <c r="F17" s="41">
        <f t="shared" ref="F17:F28" ca="1" si="7">F16+E17</f>
        <v>0</v>
      </c>
      <c r="G17" s="42">
        <f ca="1">'03'!$H$38</f>
        <v>0</v>
      </c>
      <c r="H17" s="42">
        <f t="shared" ref="H17:H28" ca="1" si="8">H16+G17</f>
        <v>0</v>
      </c>
      <c r="I17" s="43">
        <f t="shared" ca="1" si="1"/>
        <v>0</v>
      </c>
      <c r="J17" s="42">
        <f t="shared" ca="1" si="2"/>
        <v>0</v>
      </c>
      <c r="K17" s="42">
        <f t="shared" ca="1" si="3"/>
        <v>0</v>
      </c>
      <c r="L17" s="44">
        <f t="shared" ca="1" si="4"/>
        <v>0</v>
      </c>
      <c r="M17" s="42">
        <f t="shared" ca="1" si="5"/>
        <v>0</v>
      </c>
      <c r="N17" s="42">
        <f ca="1">IF(H17=0,0,N16+L17)</f>
        <v>0</v>
      </c>
    </row>
    <row r="18" spans="1:14" s="32" customFormat="1" ht="13.9" customHeight="1" x14ac:dyDescent="0.2">
      <c r="A18" s="41">
        <v>4</v>
      </c>
      <c r="B18" s="41">
        <f t="shared" ca="1" si="0"/>
        <v>0</v>
      </c>
      <c r="C18" s="41">
        <f t="shared" ca="1" si="6"/>
        <v>0</v>
      </c>
      <c r="D18" s="41">
        <v>30</v>
      </c>
      <c r="E18" s="41">
        <f ca="1">IF('04'!$R$9="",IF(G18=0,0,D18),'04'!$R$9)</f>
        <v>0</v>
      </c>
      <c r="F18" s="41">
        <f t="shared" ca="1" si="7"/>
        <v>0</v>
      </c>
      <c r="G18" s="42">
        <f ca="1">'04'!$H$38</f>
        <v>0</v>
      </c>
      <c r="H18" s="42">
        <f ca="1">H17+G18</f>
        <v>0</v>
      </c>
      <c r="I18" s="43">
        <f t="shared" ca="1" si="1"/>
        <v>0</v>
      </c>
      <c r="J18" s="42">
        <f t="shared" ca="1" si="2"/>
        <v>0</v>
      </c>
      <c r="K18" s="42">
        <f ca="1">IF(G18=0,0,IF(I18&gt;1,J18,IF(I18&lt;0,0,ROUND(J18*I18,2))))</f>
        <v>0</v>
      </c>
      <c r="L18" s="44">
        <f t="shared" ca="1" si="4"/>
        <v>0</v>
      </c>
      <c r="M18" s="42">
        <f t="shared" ca="1" si="5"/>
        <v>0</v>
      </c>
      <c r="N18" s="42">
        <f t="shared" ref="N18:N28" ca="1" si="9">IF(H18=0,0,N17+L18)</f>
        <v>0</v>
      </c>
    </row>
    <row r="19" spans="1:14" s="32" customFormat="1" ht="13.9" customHeight="1" x14ac:dyDescent="0.2">
      <c r="A19" s="41">
        <v>5</v>
      </c>
      <c r="B19" s="41">
        <f t="shared" ca="1" si="0"/>
        <v>0</v>
      </c>
      <c r="C19" s="41">
        <f t="shared" ca="1" si="6"/>
        <v>0</v>
      </c>
      <c r="D19" s="41">
        <v>31</v>
      </c>
      <c r="E19" s="41">
        <f ca="1">IF('05'!$R$9="",IF(G19=0,0,D19),'05'!$R$9)</f>
        <v>0</v>
      </c>
      <c r="F19" s="41">
        <f t="shared" ca="1" si="7"/>
        <v>0</v>
      </c>
      <c r="G19" s="42">
        <f ca="1">'05'!$H$38</f>
        <v>0</v>
      </c>
      <c r="H19" s="42">
        <f t="shared" ca="1" si="8"/>
        <v>0</v>
      </c>
      <c r="I19" s="43">
        <f t="shared" ca="1" si="1"/>
        <v>0</v>
      </c>
      <c r="J19" s="42">
        <f t="shared" ca="1" si="2"/>
        <v>0</v>
      </c>
      <c r="K19" s="42">
        <f t="shared" ca="1" si="3"/>
        <v>0</v>
      </c>
      <c r="L19" s="44">
        <f t="shared" ca="1" si="4"/>
        <v>0</v>
      </c>
      <c r="M19" s="42">
        <f t="shared" ca="1" si="5"/>
        <v>0</v>
      </c>
      <c r="N19" s="42">
        <f t="shared" ca="1" si="9"/>
        <v>0</v>
      </c>
    </row>
    <row r="20" spans="1:14" s="32" customFormat="1" ht="13.9" customHeight="1" x14ac:dyDescent="0.2">
      <c r="A20" s="41">
        <v>6</v>
      </c>
      <c r="B20" s="41">
        <f t="shared" ca="1" si="0"/>
        <v>0</v>
      </c>
      <c r="C20" s="41">
        <f t="shared" ca="1" si="6"/>
        <v>0</v>
      </c>
      <c r="D20" s="41">
        <v>30</v>
      </c>
      <c r="E20" s="41">
        <f ca="1">IF('06'!$R$9="",IF(G20=0,0,D20),'06'!$R$9)</f>
        <v>0</v>
      </c>
      <c r="F20" s="41">
        <f t="shared" ca="1" si="7"/>
        <v>0</v>
      </c>
      <c r="G20" s="42">
        <f ca="1">'06'!$H$38</f>
        <v>0</v>
      </c>
      <c r="H20" s="42">
        <f t="shared" ca="1" si="8"/>
        <v>0</v>
      </c>
      <c r="I20" s="43">
        <f t="shared" ca="1" si="1"/>
        <v>0</v>
      </c>
      <c r="J20" s="42">
        <f t="shared" ca="1" si="2"/>
        <v>0</v>
      </c>
      <c r="K20" s="42">
        <f t="shared" ca="1" si="3"/>
        <v>0</v>
      </c>
      <c r="L20" s="44">
        <f t="shared" ca="1" si="4"/>
        <v>0</v>
      </c>
      <c r="M20" s="42">
        <f t="shared" ca="1" si="5"/>
        <v>0</v>
      </c>
      <c r="N20" s="42">
        <f t="shared" ca="1" si="9"/>
        <v>0</v>
      </c>
    </row>
    <row r="21" spans="1:14" s="32" customFormat="1" ht="13.9" customHeight="1" x14ac:dyDescent="0.2">
      <c r="A21" s="41">
        <v>14</v>
      </c>
      <c r="B21" s="41">
        <f t="shared" si="0"/>
        <v>0</v>
      </c>
      <c r="C21" s="41">
        <f t="shared" ca="1" si="6"/>
        <v>0</v>
      </c>
      <c r="D21" s="41">
        <v>0</v>
      </c>
      <c r="E21" s="41">
        <f ca="1">IF(G21=0,0,D21)</f>
        <v>0</v>
      </c>
      <c r="F21" s="41">
        <f t="shared" ca="1" si="7"/>
        <v>0</v>
      </c>
      <c r="G21" s="42">
        <f ca="1">'14'!$H$38</f>
        <v>0</v>
      </c>
      <c r="H21" s="42">
        <f t="shared" ca="1" si="8"/>
        <v>0</v>
      </c>
      <c r="I21" s="43">
        <f t="shared" ref="I21:I28" ca="1" si="10">IF(G21=0,0,ROUNDDOWN(IF($A21&gt;12,0,(($F$10/$B$10+$D$10/$B$10)*$C21+$E$10/$C$10*$F21-$H21)/($F$10/$B$10*$C21)),4))</f>
        <v>0</v>
      </c>
      <c r="J21" s="42">
        <f t="shared" si="2"/>
        <v>0</v>
      </c>
      <c r="K21" s="42">
        <f ca="1">IF(G21=0,0,IF(I21&gt;1,J21,IF(I21&lt;0,0,ROUND(J21*I21,2))))</f>
        <v>0</v>
      </c>
      <c r="L21" s="44">
        <f t="shared" si="4"/>
        <v>0</v>
      </c>
      <c r="M21" s="42">
        <f t="shared" ca="1" si="5"/>
        <v>0</v>
      </c>
      <c r="N21" s="42">
        <f t="shared" ca="1" si="9"/>
        <v>0</v>
      </c>
    </row>
    <row r="22" spans="1:14" s="32" customFormat="1" ht="13.9" customHeight="1" x14ac:dyDescent="0.2">
      <c r="A22" s="41">
        <v>7</v>
      </c>
      <c r="B22" s="41">
        <f t="shared" ca="1" si="0"/>
        <v>0</v>
      </c>
      <c r="C22" s="41">
        <f t="shared" ca="1" si="6"/>
        <v>0</v>
      </c>
      <c r="D22" s="41">
        <v>31</v>
      </c>
      <c r="E22" s="41">
        <f ca="1">IF('07'!$R$9="",IF(G22=0,0,D22),'07'!$R$9)</f>
        <v>0</v>
      </c>
      <c r="F22" s="41">
        <f t="shared" ca="1" si="7"/>
        <v>0</v>
      </c>
      <c r="G22" s="42">
        <f ca="1">'07'!$H$38</f>
        <v>0</v>
      </c>
      <c r="H22" s="42">
        <f t="shared" ca="1" si="8"/>
        <v>0</v>
      </c>
      <c r="I22" s="43">
        <f t="shared" ca="1" si="10"/>
        <v>0</v>
      </c>
      <c r="J22" s="42">
        <f t="shared" ca="1" si="2"/>
        <v>0</v>
      </c>
      <c r="K22" s="42">
        <f t="shared" ca="1" si="3"/>
        <v>0</v>
      </c>
      <c r="L22" s="44">
        <f t="shared" ca="1" si="4"/>
        <v>0</v>
      </c>
      <c r="M22" s="42">
        <f t="shared" ca="1" si="5"/>
        <v>0</v>
      </c>
      <c r="N22" s="42">
        <f t="shared" ca="1" si="9"/>
        <v>0</v>
      </c>
    </row>
    <row r="23" spans="1:14" s="32" customFormat="1" ht="13.9" customHeight="1" x14ac:dyDescent="0.2">
      <c r="A23" s="41">
        <v>8</v>
      </c>
      <c r="B23" s="41">
        <f t="shared" ca="1" si="0"/>
        <v>0</v>
      </c>
      <c r="C23" s="41">
        <f t="shared" ca="1" si="6"/>
        <v>0</v>
      </c>
      <c r="D23" s="41">
        <v>31</v>
      </c>
      <c r="E23" s="41">
        <f ca="1">IF('08'!$R$9="",IF(G23=0,0,D23),'08'!$R$9)</f>
        <v>0</v>
      </c>
      <c r="F23" s="41">
        <f t="shared" ca="1" si="7"/>
        <v>0</v>
      </c>
      <c r="G23" s="42">
        <f ca="1">'08'!$H$38</f>
        <v>0</v>
      </c>
      <c r="H23" s="42">
        <f t="shared" ca="1" si="8"/>
        <v>0</v>
      </c>
      <c r="I23" s="43">
        <f t="shared" ca="1" si="10"/>
        <v>0</v>
      </c>
      <c r="J23" s="42">
        <f t="shared" ca="1" si="2"/>
        <v>0</v>
      </c>
      <c r="K23" s="42">
        <f t="shared" ca="1" si="3"/>
        <v>0</v>
      </c>
      <c r="L23" s="44">
        <f t="shared" ca="1" si="4"/>
        <v>0</v>
      </c>
      <c r="M23" s="42">
        <f t="shared" ca="1" si="5"/>
        <v>0</v>
      </c>
      <c r="N23" s="42">
        <f t="shared" ca="1" si="9"/>
        <v>0</v>
      </c>
    </row>
    <row r="24" spans="1:14" s="32" customFormat="1" ht="13.9" customHeight="1" x14ac:dyDescent="0.2">
      <c r="A24" s="41">
        <v>9</v>
      </c>
      <c r="B24" s="41">
        <f t="shared" ca="1" si="0"/>
        <v>0</v>
      </c>
      <c r="C24" s="41">
        <f t="shared" ca="1" si="6"/>
        <v>0</v>
      </c>
      <c r="D24" s="41">
        <v>30</v>
      </c>
      <c r="E24" s="41">
        <f ca="1">IF('09'!$R$9="",IF(G24=0,0,D24),'09'!$R$9)</f>
        <v>0</v>
      </c>
      <c r="F24" s="41">
        <f t="shared" ca="1" si="7"/>
        <v>0</v>
      </c>
      <c r="G24" s="42">
        <f ca="1">'09'!$H$38</f>
        <v>0</v>
      </c>
      <c r="H24" s="42">
        <f t="shared" ca="1" si="8"/>
        <v>0</v>
      </c>
      <c r="I24" s="43">
        <f t="shared" ca="1" si="10"/>
        <v>0</v>
      </c>
      <c r="J24" s="42">
        <f t="shared" ca="1" si="2"/>
        <v>0</v>
      </c>
      <c r="K24" s="42">
        <f t="shared" ca="1" si="3"/>
        <v>0</v>
      </c>
      <c r="L24" s="44">
        <f t="shared" ca="1" si="4"/>
        <v>0</v>
      </c>
      <c r="M24" s="42">
        <f t="shared" ca="1" si="5"/>
        <v>0</v>
      </c>
      <c r="N24" s="42">
        <f t="shared" ca="1" si="9"/>
        <v>0</v>
      </c>
    </row>
    <row r="25" spans="1:14" s="32" customFormat="1" ht="13.9" customHeight="1" x14ac:dyDescent="0.2">
      <c r="A25" s="41">
        <v>10</v>
      </c>
      <c r="B25" s="41">
        <f t="shared" ca="1" si="0"/>
        <v>0</v>
      </c>
      <c r="C25" s="41">
        <f t="shared" ca="1" si="6"/>
        <v>0</v>
      </c>
      <c r="D25" s="41">
        <v>31</v>
      </c>
      <c r="E25" s="41">
        <f ca="1">IF('10'!$R$9="",IF(G25=0,0,D25),'10'!$R$9)</f>
        <v>0</v>
      </c>
      <c r="F25" s="41">
        <f t="shared" ca="1" si="7"/>
        <v>0</v>
      </c>
      <c r="G25" s="42">
        <f ca="1">'10'!$H$38</f>
        <v>0</v>
      </c>
      <c r="H25" s="42">
        <f t="shared" ca="1" si="8"/>
        <v>0</v>
      </c>
      <c r="I25" s="43">
        <f t="shared" ca="1" si="10"/>
        <v>0</v>
      </c>
      <c r="J25" s="42">
        <f t="shared" ca="1" si="2"/>
        <v>0</v>
      </c>
      <c r="K25" s="42">
        <f t="shared" ca="1" si="3"/>
        <v>0</v>
      </c>
      <c r="L25" s="44">
        <f t="shared" ca="1" si="4"/>
        <v>0</v>
      </c>
      <c r="M25" s="42">
        <f t="shared" ca="1" si="5"/>
        <v>0</v>
      </c>
      <c r="N25" s="42">
        <f t="shared" ca="1" si="9"/>
        <v>0</v>
      </c>
    </row>
    <row r="26" spans="1:14" s="32" customFormat="1" ht="13.9" customHeight="1" x14ac:dyDescent="0.2">
      <c r="A26" s="41">
        <v>11</v>
      </c>
      <c r="B26" s="41">
        <f t="shared" ca="1" si="0"/>
        <v>0</v>
      </c>
      <c r="C26" s="41">
        <f t="shared" ca="1" si="6"/>
        <v>0</v>
      </c>
      <c r="D26" s="41">
        <v>30</v>
      </c>
      <c r="E26" s="41">
        <f ca="1">IF('11'!$R$9="",IF(G26=0,0,D26),'11'!$R$9)</f>
        <v>0</v>
      </c>
      <c r="F26" s="41">
        <f t="shared" ca="1" si="7"/>
        <v>0</v>
      </c>
      <c r="G26" s="42">
        <f ca="1">'11'!$H$38</f>
        <v>0</v>
      </c>
      <c r="H26" s="42">
        <f t="shared" ca="1" si="8"/>
        <v>0</v>
      </c>
      <c r="I26" s="43">
        <f t="shared" ca="1" si="10"/>
        <v>0</v>
      </c>
      <c r="J26" s="42">
        <f t="shared" ca="1" si="2"/>
        <v>0</v>
      </c>
      <c r="K26" s="42">
        <f t="shared" ca="1" si="3"/>
        <v>0</v>
      </c>
      <c r="L26" s="44">
        <f t="shared" ca="1" si="4"/>
        <v>0</v>
      </c>
      <c r="M26" s="42">
        <f t="shared" ca="1" si="5"/>
        <v>0</v>
      </c>
      <c r="N26" s="42">
        <f t="shared" ca="1" si="9"/>
        <v>0</v>
      </c>
    </row>
    <row r="27" spans="1:14" s="32" customFormat="1" ht="13.9" customHeight="1" x14ac:dyDescent="0.2">
      <c r="A27" s="41">
        <v>13</v>
      </c>
      <c r="B27" s="41">
        <f t="shared" si="0"/>
        <v>0</v>
      </c>
      <c r="C27" s="41">
        <f t="shared" ca="1" si="6"/>
        <v>0</v>
      </c>
      <c r="D27" s="41">
        <v>0</v>
      </c>
      <c r="E27" s="41">
        <f ca="1">IF(G27=0,0,D27)</f>
        <v>0</v>
      </c>
      <c r="F27" s="41">
        <f t="shared" ca="1" si="7"/>
        <v>0</v>
      </c>
      <c r="G27" s="42">
        <f ca="1">'13'!$H$38</f>
        <v>0</v>
      </c>
      <c r="H27" s="42">
        <f t="shared" ca="1" si="8"/>
        <v>0</v>
      </c>
      <c r="I27" s="43">
        <f t="shared" ca="1" si="10"/>
        <v>0</v>
      </c>
      <c r="J27" s="42">
        <f t="shared" si="2"/>
        <v>0</v>
      </c>
      <c r="K27" s="42">
        <f t="shared" ca="1" si="3"/>
        <v>0</v>
      </c>
      <c r="L27" s="44">
        <f t="shared" si="4"/>
        <v>0</v>
      </c>
      <c r="M27" s="42">
        <f t="shared" ca="1" si="5"/>
        <v>0</v>
      </c>
      <c r="N27" s="42">
        <f t="shared" ca="1" si="9"/>
        <v>0</v>
      </c>
    </row>
    <row r="28" spans="1:14" s="32" customFormat="1" ht="13.9" customHeight="1" x14ac:dyDescent="0.2">
      <c r="A28" s="45">
        <v>12</v>
      </c>
      <c r="B28" s="45">
        <f t="shared" ca="1" si="0"/>
        <v>0</v>
      </c>
      <c r="C28" s="45">
        <f t="shared" ca="1" si="6"/>
        <v>0</v>
      </c>
      <c r="D28" s="45">
        <v>31</v>
      </c>
      <c r="E28" s="45">
        <f ca="1">IF('12'!$R$9="",IF(G28=0,0,D28),'12'!$R$9)</f>
        <v>0</v>
      </c>
      <c r="F28" s="45">
        <f t="shared" ca="1" si="7"/>
        <v>0</v>
      </c>
      <c r="G28" s="46">
        <f ca="1">'12'!$H$38</f>
        <v>0</v>
      </c>
      <c r="H28" s="46">
        <f t="shared" ca="1" si="8"/>
        <v>0</v>
      </c>
      <c r="I28" s="47">
        <f t="shared" ca="1" si="10"/>
        <v>0</v>
      </c>
      <c r="J28" s="46">
        <f t="shared" ca="1" si="2"/>
        <v>0</v>
      </c>
      <c r="K28" s="46">
        <f t="shared" ca="1" si="3"/>
        <v>0</v>
      </c>
      <c r="L28" s="48">
        <f t="shared" ca="1" si="4"/>
        <v>0</v>
      </c>
      <c r="M28" s="46">
        <f t="shared" ca="1" si="5"/>
        <v>0</v>
      </c>
      <c r="N28" s="46">
        <f t="shared" ca="1" si="9"/>
        <v>0</v>
      </c>
    </row>
    <row r="29" spans="1:14" s="32" customFormat="1" ht="9" customHeight="1" x14ac:dyDescent="0.2">
      <c r="H29" s="31"/>
      <c r="I29" s="31"/>
    </row>
    <row r="30" spans="1:14" s="32" customFormat="1" ht="18" customHeight="1" x14ac:dyDescent="0.2">
      <c r="A30" s="83" t="s">
        <v>91</v>
      </c>
      <c r="I30" s="83" t="s">
        <v>91</v>
      </c>
    </row>
    <row r="31" spans="1:14" s="32" customFormat="1" ht="18" customHeight="1" x14ac:dyDescent="0.2">
      <c r="A31" s="9" t="s">
        <v>92</v>
      </c>
      <c r="E31" s="140">
        <f ca="1">IF(H28=0,0,ROUNDDOWN((D10/B10*C28+E10/C10*F28+F10/B10*C28-H28)/(F10/B10*C28),4))</f>
        <v>0</v>
      </c>
      <c r="I31" s="9" t="s">
        <v>92</v>
      </c>
      <c r="M31" s="140"/>
    </row>
    <row r="32" spans="1:14" s="32" customFormat="1" ht="18" customHeight="1" x14ac:dyDescent="0.2">
      <c r="A32" s="9" t="s">
        <v>93</v>
      </c>
      <c r="E32" s="140">
        <f ca="1">ROUND((D10/B10*C28+E10/C10*F28)*E31,2)</f>
        <v>0</v>
      </c>
      <c r="I32" s="9" t="s">
        <v>93</v>
      </c>
      <c r="M32" s="140"/>
    </row>
    <row r="33" spans="1:18" s="32" customFormat="1" ht="18" customHeight="1" x14ac:dyDescent="0.2">
      <c r="I33" s="31"/>
    </row>
    <row r="34" spans="1:18" s="32" customFormat="1" ht="18" customHeight="1" x14ac:dyDescent="0.2">
      <c r="I34" s="31"/>
    </row>
    <row r="35" spans="1:18" s="32" customFormat="1" ht="18" customHeight="1" x14ac:dyDescent="0.2">
      <c r="A35" s="139" t="str">
        <f>A1</f>
        <v>AAAAA BBBBB</v>
      </c>
      <c r="H35" s="195">
        <f>H1</f>
        <v>0</v>
      </c>
      <c r="I35" s="31"/>
    </row>
    <row r="36" spans="1:18" s="32" customFormat="1" ht="18" customHeight="1" x14ac:dyDescent="0.2">
      <c r="I36" s="31"/>
    </row>
    <row r="37" spans="1:18" s="32" customFormat="1" ht="18" customHeight="1" x14ac:dyDescent="0.2">
      <c r="I37" s="31"/>
    </row>
    <row r="38" spans="1:18" s="32" customFormat="1" ht="15" customHeight="1" x14ac:dyDescent="0.2">
      <c r="A38" s="9" t="s">
        <v>76</v>
      </c>
      <c r="H38" s="9" t="s">
        <v>80</v>
      </c>
      <c r="I38" s="6"/>
      <c r="J38" s="1"/>
      <c r="K38" s="1"/>
      <c r="L38" s="9" t="s">
        <v>81</v>
      </c>
      <c r="N38" s="6"/>
      <c r="O38" s="1"/>
      <c r="P38" s="9" t="s">
        <v>150</v>
      </c>
      <c r="R38" s="6"/>
    </row>
    <row r="39" spans="1:18" s="6" customFormat="1" ht="13.15" customHeight="1" x14ac:dyDescent="0.2">
      <c r="A39" s="9" t="s">
        <v>72</v>
      </c>
      <c r="H39" s="9" t="s">
        <v>83</v>
      </c>
      <c r="J39" s="1"/>
      <c r="K39" s="1"/>
      <c r="L39" s="9" t="s">
        <v>82</v>
      </c>
      <c r="O39" s="1"/>
      <c r="P39" s="9" t="s">
        <v>151</v>
      </c>
    </row>
    <row r="40" spans="1:18" s="6" customFormat="1" ht="13.15" customHeight="1" x14ac:dyDescent="0.2">
      <c r="A40" s="9" t="s">
        <v>77</v>
      </c>
      <c r="H40" s="9" t="s">
        <v>79</v>
      </c>
      <c r="J40" s="652">
        <f>'01'!H45</f>
        <v>0</v>
      </c>
      <c r="K40" s="1"/>
      <c r="L40" s="9" t="s">
        <v>79</v>
      </c>
      <c r="N40" s="652">
        <f>'01'!H48</f>
        <v>0</v>
      </c>
      <c r="P40" s="664">
        <v>30</v>
      </c>
      <c r="Q40" s="665"/>
      <c r="R40" s="652">
        <f>ROUND(N40*P40%,2)</f>
        <v>0</v>
      </c>
    </row>
    <row r="41" spans="1:18" s="6" customFormat="1" ht="13.15" customHeight="1" x14ac:dyDescent="0.2">
      <c r="H41" s="9" t="s">
        <v>78</v>
      </c>
      <c r="J41" s="653"/>
      <c r="K41" s="1"/>
      <c r="L41" s="9" t="s">
        <v>78</v>
      </c>
      <c r="N41" s="653"/>
      <c r="O41" s="133"/>
      <c r="P41" s="666">
        <v>30</v>
      </c>
      <c r="Q41" s="667"/>
      <c r="R41" s="653"/>
    </row>
    <row r="42" spans="1:18" s="32" customFormat="1" x14ac:dyDescent="0.2">
      <c r="H42" s="9"/>
      <c r="I42" s="6"/>
      <c r="J42" s="1"/>
      <c r="K42" s="1"/>
      <c r="M42" s="9"/>
      <c r="N42" s="6"/>
      <c r="O42" s="1"/>
      <c r="Q42" s="9"/>
      <c r="R42" s="6"/>
    </row>
    <row r="43" spans="1:18" s="32" customFormat="1" ht="36" customHeight="1" x14ac:dyDescent="0.2">
      <c r="A43" s="643" t="s">
        <v>64</v>
      </c>
      <c r="B43" s="642" t="s">
        <v>66</v>
      </c>
      <c r="C43" s="647"/>
      <c r="D43" s="643" t="s">
        <v>73</v>
      </c>
      <c r="E43" s="643" t="s">
        <v>74</v>
      </c>
      <c r="F43" s="643" t="s">
        <v>75</v>
      </c>
      <c r="H43" s="643" t="s">
        <v>90</v>
      </c>
      <c r="I43" s="643" t="s">
        <v>88</v>
      </c>
      <c r="J43" s="643" t="s">
        <v>89</v>
      </c>
      <c r="K43" s="1"/>
      <c r="L43" s="643" t="s">
        <v>64</v>
      </c>
      <c r="M43" s="643" t="s">
        <v>88</v>
      </c>
      <c r="N43" s="643" t="s">
        <v>89</v>
      </c>
      <c r="P43" s="643" t="s">
        <v>64</v>
      </c>
      <c r="Q43" s="643" t="s">
        <v>88</v>
      </c>
      <c r="R43" s="643" t="s">
        <v>89</v>
      </c>
    </row>
    <row r="44" spans="1:18" s="32" customFormat="1" ht="36" customHeight="1" x14ac:dyDescent="0.2">
      <c r="A44" s="644"/>
      <c r="B44" s="641"/>
      <c r="C44" s="648"/>
      <c r="D44" s="645"/>
      <c r="E44" s="645"/>
      <c r="F44" s="645"/>
      <c r="H44" s="645"/>
      <c r="I44" s="645"/>
      <c r="J44" s="645"/>
      <c r="K44" s="1"/>
      <c r="L44" s="645"/>
      <c r="M44" s="645"/>
      <c r="N44" s="645"/>
      <c r="P44" s="645"/>
      <c r="Q44" s="645"/>
      <c r="R44" s="645"/>
    </row>
    <row r="45" spans="1:18" s="32" customFormat="1" ht="14.45" customHeight="1" x14ac:dyDescent="0.2">
      <c r="A45" s="37">
        <v>1</v>
      </c>
      <c r="B45" s="660">
        <f ca="1">H15</f>
        <v>0</v>
      </c>
      <c r="C45" s="661"/>
      <c r="D45" s="125">
        <f>'01'!$H$37</f>
        <v>0</v>
      </c>
      <c r="E45" s="125">
        <f>D45</f>
        <v>0</v>
      </c>
      <c r="F45" s="125">
        <f ca="1">SUM(B45,E45)</f>
        <v>0</v>
      </c>
      <c r="H45" s="130">
        <v>1</v>
      </c>
      <c r="I45" s="131">
        <f>-'01'!$I$45</f>
        <v>0</v>
      </c>
      <c r="J45" s="132">
        <f>J40-I45</f>
        <v>0</v>
      </c>
      <c r="K45" s="1"/>
      <c r="L45" s="130">
        <v>1</v>
      </c>
      <c r="M45" s="131">
        <f>-'01'!$I$48</f>
        <v>0</v>
      </c>
      <c r="N45" s="132">
        <f>N40-M45</f>
        <v>0</v>
      </c>
      <c r="P45" s="130"/>
      <c r="Q45" s="131"/>
      <c r="R45" s="132"/>
    </row>
    <row r="46" spans="1:18" s="32" customFormat="1" ht="14.45" customHeight="1" x14ac:dyDescent="0.2">
      <c r="A46" s="41">
        <v>2</v>
      </c>
      <c r="B46" s="656">
        <f t="shared" ref="B46:B58" ca="1" si="11">H16</f>
        <v>0</v>
      </c>
      <c r="C46" s="657"/>
      <c r="D46" s="126">
        <f>'02'!$H$37</f>
        <v>0</v>
      </c>
      <c r="E46" s="126">
        <f>E45+D46</f>
        <v>0</v>
      </c>
      <c r="F46" s="126">
        <f t="shared" ref="F46:F58" ca="1" si="12">SUM(B46,E46)</f>
        <v>0</v>
      </c>
      <c r="H46" s="41">
        <v>2</v>
      </c>
      <c r="I46" s="138">
        <f>-'02'!$I$45</f>
        <v>0</v>
      </c>
      <c r="J46" s="126">
        <f t="shared" ref="J46:J56" si="13">J45-I46</f>
        <v>0</v>
      </c>
      <c r="K46" s="1"/>
      <c r="L46" s="41">
        <v>2</v>
      </c>
      <c r="M46" s="131">
        <f>-'02'!$I$48</f>
        <v>0</v>
      </c>
      <c r="N46" s="126">
        <f t="shared" ref="N46:N56" si="14">N45-M46</f>
        <v>0</v>
      </c>
      <c r="P46" s="41"/>
      <c r="Q46" s="131"/>
      <c r="R46" s="126"/>
    </row>
    <row r="47" spans="1:18" s="32" customFormat="1" ht="14.45" customHeight="1" x14ac:dyDescent="0.2">
      <c r="A47" s="41">
        <v>3</v>
      </c>
      <c r="B47" s="656">
        <f t="shared" ca="1" si="11"/>
        <v>0</v>
      </c>
      <c r="C47" s="657"/>
      <c r="D47" s="126">
        <f>'03'!$H$37</f>
        <v>0</v>
      </c>
      <c r="E47" s="126">
        <f t="shared" ref="E47:E58" si="15">E46+D47</f>
        <v>0</v>
      </c>
      <c r="F47" s="126">
        <f t="shared" ca="1" si="12"/>
        <v>0</v>
      </c>
      <c r="H47" s="41">
        <v>3</v>
      </c>
      <c r="I47" s="138">
        <f>-'03'!$I$45</f>
        <v>0</v>
      </c>
      <c r="J47" s="126">
        <f t="shared" si="13"/>
        <v>0</v>
      </c>
      <c r="K47" s="1"/>
      <c r="L47" s="41">
        <v>3</v>
      </c>
      <c r="M47" s="131">
        <f>-'03'!$I$48</f>
        <v>0</v>
      </c>
      <c r="N47" s="126">
        <f t="shared" si="14"/>
        <v>0</v>
      </c>
      <c r="P47" s="41">
        <v>3</v>
      </c>
      <c r="Q47" s="131">
        <f>-'03'!$I$49</f>
        <v>0</v>
      </c>
      <c r="R47" s="126">
        <f>R40-Q47</f>
        <v>0</v>
      </c>
    </row>
    <row r="48" spans="1:18" s="32" customFormat="1" ht="14.45" customHeight="1" x14ac:dyDescent="0.2">
      <c r="A48" s="41">
        <v>4</v>
      </c>
      <c r="B48" s="656">
        <f t="shared" ca="1" si="11"/>
        <v>0</v>
      </c>
      <c r="C48" s="657"/>
      <c r="D48" s="126">
        <f>'04'!$H$37</f>
        <v>0</v>
      </c>
      <c r="E48" s="126">
        <f t="shared" si="15"/>
        <v>0</v>
      </c>
      <c r="F48" s="126">
        <f t="shared" ca="1" si="12"/>
        <v>0</v>
      </c>
      <c r="H48" s="41">
        <v>4</v>
      </c>
      <c r="I48" s="138">
        <f>-'04'!$I$45</f>
        <v>0</v>
      </c>
      <c r="J48" s="126">
        <f t="shared" si="13"/>
        <v>0</v>
      </c>
      <c r="K48" s="1"/>
      <c r="L48" s="41">
        <v>4</v>
      </c>
      <c r="M48" s="131">
        <f>-'04'!$I$48</f>
        <v>0</v>
      </c>
      <c r="N48" s="126">
        <f t="shared" si="14"/>
        <v>0</v>
      </c>
      <c r="P48" s="41">
        <v>4</v>
      </c>
      <c r="Q48" s="131">
        <f>-'04'!$I$49</f>
        <v>0</v>
      </c>
      <c r="R48" s="126">
        <f t="shared" ref="R48:R56" si="16">R47-Q48</f>
        <v>0</v>
      </c>
    </row>
    <row r="49" spans="1:18" s="32" customFormat="1" ht="14.45" customHeight="1" x14ac:dyDescent="0.2">
      <c r="A49" s="41">
        <v>5</v>
      </c>
      <c r="B49" s="656">
        <f t="shared" ca="1" si="11"/>
        <v>0</v>
      </c>
      <c r="C49" s="657"/>
      <c r="D49" s="126">
        <f>'05'!$H$37</f>
        <v>0</v>
      </c>
      <c r="E49" s="126">
        <f t="shared" si="15"/>
        <v>0</v>
      </c>
      <c r="F49" s="126">
        <f t="shared" ca="1" si="12"/>
        <v>0</v>
      </c>
      <c r="H49" s="41">
        <v>5</v>
      </c>
      <c r="I49" s="138">
        <f>-'05'!$I$45</f>
        <v>0</v>
      </c>
      <c r="J49" s="126">
        <f t="shared" si="13"/>
        <v>0</v>
      </c>
      <c r="K49" s="1"/>
      <c r="L49" s="41">
        <v>5</v>
      </c>
      <c r="M49" s="131">
        <f>-'05'!$I$48</f>
        <v>0</v>
      </c>
      <c r="N49" s="126">
        <f t="shared" si="14"/>
        <v>0</v>
      </c>
      <c r="P49" s="41">
        <v>5</v>
      </c>
      <c r="Q49" s="131">
        <f>-'05'!$I$49</f>
        <v>0</v>
      </c>
      <c r="R49" s="126">
        <f t="shared" si="16"/>
        <v>0</v>
      </c>
    </row>
    <row r="50" spans="1:18" s="32" customFormat="1" ht="14.45" customHeight="1" x14ac:dyDescent="0.2">
      <c r="A50" s="41">
        <v>6</v>
      </c>
      <c r="B50" s="656">
        <f t="shared" ca="1" si="11"/>
        <v>0</v>
      </c>
      <c r="C50" s="657"/>
      <c r="D50" s="126">
        <f>'06'!$H$37</f>
        <v>0</v>
      </c>
      <c r="E50" s="126">
        <f t="shared" si="15"/>
        <v>0</v>
      </c>
      <c r="F50" s="126">
        <f t="shared" ca="1" si="12"/>
        <v>0</v>
      </c>
      <c r="H50" s="41">
        <v>6</v>
      </c>
      <c r="I50" s="138">
        <f>-'06'!$I$45</f>
        <v>0</v>
      </c>
      <c r="J50" s="126">
        <f t="shared" si="13"/>
        <v>0</v>
      </c>
      <c r="K50" s="1"/>
      <c r="L50" s="41">
        <v>6</v>
      </c>
      <c r="M50" s="131">
        <f>-'06'!$I$48</f>
        <v>0</v>
      </c>
      <c r="N50" s="126">
        <f t="shared" si="14"/>
        <v>0</v>
      </c>
      <c r="P50" s="41">
        <v>6</v>
      </c>
      <c r="Q50" s="131">
        <f>-'06'!$I$49</f>
        <v>0</v>
      </c>
      <c r="R50" s="126">
        <f t="shared" si="16"/>
        <v>0</v>
      </c>
    </row>
    <row r="51" spans="1:18" s="32" customFormat="1" ht="14.45" customHeight="1" x14ac:dyDescent="0.2">
      <c r="A51" s="41">
        <v>14</v>
      </c>
      <c r="B51" s="656">
        <f t="shared" ca="1" si="11"/>
        <v>0</v>
      </c>
      <c r="C51" s="657"/>
      <c r="D51" s="126">
        <f>'14'!$H$37</f>
        <v>0</v>
      </c>
      <c r="E51" s="126">
        <f t="shared" si="15"/>
        <v>0</v>
      </c>
      <c r="F51" s="126">
        <f t="shared" ca="1" si="12"/>
        <v>0</v>
      </c>
      <c r="H51" s="41">
        <v>14</v>
      </c>
      <c r="I51" s="138">
        <f>-'14'!$I$45</f>
        <v>0</v>
      </c>
      <c r="J51" s="126">
        <f t="shared" si="13"/>
        <v>0</v>
      </c>
      <c r="K51" s="1"/>
      <c r="L51" s="41">
        <v>14</v>
      </c>
      <c r="M51" s="131">
        <f>-'14'!$I$48</f>
        <v>0</v>
      </c>
      <c r="N51" s="126">
        <f t="shared" si="14"/>
        <v>0</v>
      </c>
      <c r="P51" s="41">
        <v>14</v>
      </c>
      <c r="Q51" s="131"/>
      <c r="R51" s="126">
        <f t="shared" si="16"/>
        <v>0</v>
      </c>
    </row>
    <row r="52" spans="1:18" s="32" customFormat="1" ht="14.45" customHeight="1" x14ac:dyDescent="0.2">
      <c r="A52" s="41">
        <v>7</v>
      </c>
      <c r="B52" s="656">
        <f t="shared" ca="1" si="11"/>
        <v>0</v>
      </c>
      <c r="C52" s="657"/>
      <c r="D52" s="126">
        <f>'07'!$H$37</f>
        <v>0</v>
      </c>
      <c r="E52" s="126">
        <f t="shared" si="15"/>
        <v>0</v>
      </c>
      <c r="F52" s="126">
        <f t="shared" ca="1" si="12"/>
        <v>0</v>
      </c>
      <c r="H52" s="41">
        <v>7</v>
      </c>
      <c r="I52" s="138">
        <f>-'07'!$I$45</f>
        <v>0</v>
      </c>
      <c r="J52" s="126">
        <f t="shared" si="13"/>
        <v>0</v>
      </c>
      <c r="K52" s="1"/>
      <c r="L52" s="41">
        <v>7</v>
      </c>
      <c r="M52" s="131">
        <f>-'07'!$I$48</f>
        <v>0</v>
      </c>
      <c r="N52" s="126">
        <f t="shared" si="14"/>
        <v>0</v>
      </c>
      <c r="P52" s="41">
        <v>7</v>
      </c>
      <c r="Q52" s="131">
        <f>-'07'!$I$49</f>
        <v>0</v>
      </c>
      <c r="R52" s="126">
        <f t="shared" si="16"/>
        <v>0</v>
      </c>
    </row>
    <row r="53" spans="1:18" s="32" customFormat="1" ht="14.45" customHeight="1" x14ac:dyDescent="0.2">
      <c r="A53" s="41">
        <v>8</v>
      </c>
      <c r="B53" s="656">
        <f t="shared" ca="1" si="11"/>
        <v>0</v>
      </c>
      <c r="C53" s="657"/>
      <c r="D53" s="126">
        <f>'08'!$H$37</f>
        <v>0</v>
      </c>
      <c r="E53" s="126">
        <f t="shared" si="15"/>
        <v>0</v>
      </c>
      <c r="F53" s="126">
        <f t="shared" ca="1" si="12"/>
        <v>0</v>
      </c>
      <c r="H53" s="41">
        <v>8</v>
      </c>
      <c r="I53" s="138">
        <f>-'08'!$I$45</f>
        <v>0</v>
      </c>
      <c r="J53" s="126">
        <f t="shared" si="13"/>
        <v>0</v>
      </c>
      <c r="K53" s="1"/>
      <c r="L53" s="41">
        <v>8</v>
      </c>
      <c r="M53" s="131">
        <f>-'08'!$I$48</f>
        <v>0</v>
      </c>
      <c r="N53" s="126">
        <f t="shared" si="14"/>
        <v>0</v>
      </c>
      <c r="P53" s="41">
        <v>8</v>
      </c>
      <c r="Q53" s="131">
        <f>-'08'!$I$49</f>
        <v>0</v>
      </c>
      <c r="R53" s="126">
        <f t="shared" si="16"/>
        <v>0</v>
      </c>
    </row>
    <row r="54" spans="1:18" ht="14.45" customHeight="1" x14ac:dyDescent="0.2">
      <c r="A54" s="41">
        <v>9</v>
      </c>
      <c r="B54" s="656">
        <f t="shared" ca="1" si="11"/>
        <v>0</v>
      </c>
      <c r="C54" s="657"/>
      <c r="D54" s="126">
        <f>'09'!$H$37</f>
        <v>0</v>
      </c>
      <c r="E54" s="126">
        <f t="shared" si="15"/>
        <v>0</v>
      </c>
      <c r="F54" s="126">
        <f t="shared" ca="1" si="12"/>
        <v>0</v>
      </c>
      <c r="H54" s="41">
        <v>9</v>
      </c>
      <c r="I54" s="138">
        <f>-'09'!$I$45</f>
        <v>0</v>
      </c>
      <c r="J54" s="126">
        <f t="shared" si="13"/>
        <v>0</v>
      </c>
      <c r="L54" s="41">
        <v>9</v>
      </c>
      <c r="M54" s="131">
        <f>-'09'!$I$48</f>
        <v>0</v>
      </c>
      <c r="N54" s="126">
        <f t="shared" si="14"/>
        <v>0</v>
      </c>
      <c r="P54" s="41">
        <v>9</v>
      </c>
      <c r="Q54" s="131">
        <f>-'09'!$I$49</f>
        <v>0</v>
      </c>
      <c r="R54" s="126">
        <f t="shared" si="16"/>
        <v>0</v>
      </c>
    </row>
    <row r="55" spans="1:18" ht="14.45" customHeight="1" x14ac:dyDescent="0.2">
      <c r="A55" s="41">
        <v>10</v>
      </c>
      <c r="B55" s="656">
        <f t="shared" ca="1" si="11"/>
        <v>0</v>
      </c>
      <c r="C55" s="657"/>
      <c r="D55" s="126">
        <f>'10'!$H$37</f>
        <v>0</v>
      </c>
      <c r="E55" s="126">
        <f t="shared" si="15"/>
        <v>0</v>
      </c>
      <c r="F55" s="126">
        <f t="shared" ca="1" si="12"/>
        <v>0</v>
      </c>
      <c r="H55" s="41">
        <v>10</v>
      </c>
      <c r="I55" s="138">
        <f>-'10'!$I$45</f>
        <v>0</v>
      </c>
      <c r="J55" s="126">
        <f t="shared" si="13"/>
        <v>0</v>
      </c>
      <c r="L55" s="41">
        <v>10</v>
      </c>
      <c r="M55" s="131">
        <f>-'10'!$I$48</f>
        <v>0</v>
      </c>
      <c r="N55" s="126">
        <f t="shared" si="14"/>
        <v>0</v>
      </c>
      <c r="P55" s="41">
        <v>10</v>
      </c>
      <c r="Q55" s="131">
        <f>-'10'!$I$49</f>
        <v>0</v>
      </c>
      <c r="R55" s="126">
        <f t="shared" si="16"/>
        <v>0</v>
      </c>
    </row>
    <row r="56" spans="1:18" ht="14.45" customHeight="1" x14ac:dyDescent="0.2">
      <c r="A56" s="41">
        <v>11</v>
      </c>
      <c r="B56" s="656">
        <f t="shared" ca="1" si="11"/>
        <v>0</v>
      </c>
      <c r="C56" s="657"/>
      <c r="D56" s="126">
        <f>'11'!$H$37</f>
        <v>0</v>
      </c>
      <c r="E56" s="126">
        <f t="shared" si="15"/>
        <v>0</v>
      </c>
      <c r="F56" s="126">
        <f t="shared" ca="1" si="12"/>
        <v>0</v>
      </c>
      <c r="H56" s="41">
        <v>11</v>
      </c>
      <c r="I56" s="138">
        <f>-'11'!$I$45</f>
        <v>0</v>
      </c>
      <c r="J56" s="126">
        <f t="shared" si="13"/>
        <v>0</v>
      </c>
      <c r="L56" s="41">
        <v>11</v>
      </c>
      <c r="M56" s="131">
        <f>-'11'!$I$48</f>
        <v>0</v>
      </c>
      <c r="N56" s="126">
        <f t="shared" si="14"/>
        <v>0</v>
      </c>
      <c r="P56" s="41">
        <v>11</v>
      </c>
      <c r="Q56" s="131">
        <f>R55</f>
        <v>0</v>
      </c>
      <c r="R56" s="126">
        <f t="shared" si="16"/>
        <v>0</v>
      </c>
    </row>
    <row r="57" spans="1:18" ht="14.45" customHeight="1" x14ac:dyDescent="0.2">
      <c r="A57" s="41">
        <v>13</v>
      </c>
      <c r="B57" s="656">
        <f t="shared" ca="1" si="11"/>
        <v>0</v>
      </c>
      <c r="C57" s="657"/>
      <c r="D57" s="126">
        <f>'13'!$H$37</f>
        <v>0</v>
      </c>
      <c r="E57" s="126">
        <f t="shared" si="15"/>
        <v>0</v>
      </c>
      <c r="F57" s="126">
        <f t="shared" ca="1" si="12"/>
        <v>0</v>
      </c>
      <c r="H57" s="41">
        <v>13</v>
      </c>
      <c r="I57" s="138"/>
      <c r="J57" s="126"/>
      <c r="L57" s="41">
        <v>13</v>
      </c>
      <c r="M57" s="131"/>
      <c r="N57" s="126"/>
      <c r="P57" s="41">
        <v>13</v>
      </c>
      <c r="Q57" s="131"/>
      <c r="R57" s="126"/>
    </row>
    <row r="58" spans="1:18" ht="14.45" customHeight="1" x14ac:dyDescent="0.2">
      <c r="A58" s="45">
        <v>12</v>
      </c>
      <c r="B58" s="658">
        <f t="shared" ca="1" si="11"/>
        <v>0</v>
      </c>
      <c r="C58" s="659"/>
      <c r="D58" s="128">
        <f>'12'!$H$37</f>
        <v>0</v>
      </c>
      <c r="E58" s="128">
        <f t="shared" si="15"/>
        <v>0</v>
      </c>
      <c r="F58" s="128">
        <f t="shared" ca="1" si="12"/>
        <v>0</v>
      </c>
      <c r="H58" s="45">
        <v>12</v>
      </c>
      <c r="I58" s="127"/>
      <c r="J58" s="128"/>
      <c r="L58" s="45">
        <v>12</v>
      </c>
      <c r="M58" s="127"/>
      <c r="N58" s="128"/>
      <c r="P58" s="45">
        <v>12</v>
      </c>
      <c r="Q58" s="127"/>
      <c r="R58" s="128"/>
    </row>
    <row r="64" spans="1:18" ht="13.15" customHeight="1" x14ac:dyDescent="0.2">
      <c r="J64" s="133"/>
    </row>
    <row r="65" spans="1:18" ht="13.15" customHeight="1" x14ac:dyDescent="0.2">
      <c r="J65" s="133"/>
    </row>
    <row r="66" spans="1:18" ht="8.4499999999999993" customHeight="1" x14ac:dyDescent="0.2">
      <c r="K66" s="133"/>
      <c r="L66" s="133"/>
    </row>
    <row r="67" spans="1:18" ht="24" customHeight="1" x14ac:dyDescent="0.2"/>
    <row r="68" spans="1:18" ht="24" customHeight="1" x14ac:dyDescent="0.2"/>
    <row r="69" spans="1:18" ht="15.75" x14ac:dyDescent="0.2">
      <c r="A69" s="139" t="str">
        <f>A1</f>
        <v>AAAAA BBBBB</v>
      </c>
      <c r="H69" s="195">
        <f>H1</f>
        <v>0</v>
      </c>
    </row>
    <row r="71" spans="1:18" x14ac:dyDescent="0.2">
      <c r="A71" s="83" t="s">
        <v>96</v>
      </c>
    </row>
    <row r="72" spans="1:18" x14ac:dyDescent="0.2">
      <c r="A72" s="83" t="s">
        <v>97</v>
      </c>
    </row>
    <row r="74" spans="1:18" ht="29.45" customHeight="1" x14ac:dyDescent="0.2">
      <c r="A74" s="643" t="s">
        <v>64</v>
      </c>
      <c r="B74" s="642" t="s">
        <v>94</v>
      </c>
      <c r="C74" s="647"/>
      <c r="D74" s="643" t="s">
        <v>95</v>
      </c>
      <c r="E74" s="137" t="s">
        <v>98</v>
      </c>
      <c r="F74" s="643" t="s">
        <v>99</v>
      </c>
      <c r="H74" s="643" t="s">
        <v>64</v>
      </c>
      <c r="I74" s="642" t="s">
        <v>152</v>
      </c>
      <c r="J74" s="642" t="s">
        <v>153</v>
      </c>
      <c r="K74" s="642" t="s">
        <v>154</v>
      </c>
      <c r="L74" s="642" t="s">
        <v>155</v>
      </c>
      <c r="M74" s="642" t="s">
        <v>156</v>
      </c>
      <c r="N74" s="642" t="s">
        <v>157</v>
      </c>
      <c r="O74" s="642" t="s">
        <v>158</v>
      </c>
      <c r="P74" s="642" t="s">
        <v>159</v>
      </c>
      <c r="Q74" s="640" t="s">
        <v>263</v>
      </c>
      <c r="R74" s="642" t="s">
        <v>163</v>
      </c>
    </row>
    <row r="75" spans="1:18" ht="10.15" customHeight="1" x14ac:dyDescent="0.2">
      <c r="A75" s="645"/>
      <c r="B75" s="641"/>
      <c r="C75" s="648"/>
      <c r="D75" s="645"/>
      <c r="E75" s="141">
        <v>5.0000000000000001E-3</v>
      </c>
      <c r="F75" s="645"/>
      <c r="H75" s="645"/>
      <c r="I75" s="641"/>
      <c r="J75" s="641"/>
      <c r="K75" s="641"/>
      <c r="L75" s="641"/>
      <c r="M75" s="641"/>
      <c r="N75" s="641"/>
      <c r="O75" s="641"/>
      <c r="P75" s="641"/>
      <c r="Q75" s="641"/>
      <c r="R75" s="641"/>
    </row>
    <row r="76" spans="1:18" s="30" customFormat="1" ht="11.25" x14ac:dyDescent="0.2">
      <c r="A76" s="243">
        <v>1</v>
      </c>
      <c r="B76" s="662">
        <f ca="1">SUM('01'!$I$29,'01'!$I$35,'01'!$I$36)</f>
        <v>0</v>
      </c>
      <c r="C76" s="662"/>
      <c r="D76" s="245">
        <f ca="1">B76</f>
        <v>0</v>
      </c>
      <c r="E76" s="244">
        <f ca="1">ROUND(B76*$E$75,2)</f>
        <v>0</v>
      </c>
      <c r="F76" s="244">
        <f ca="1">E76</f>
        <v>0</v>
      </c>
      <c r="H76" s="243">
        <v>1</v>
      </c>
      <c r="I76" s="245">
        <f ca="1">'01'!$H$38</f>
        <v>0</v>
      </c>
      <c r="J76" s="245">
        <f ca="1">I76</f>
        <v>0</v>
      </c>
      <c r="K76" s="245">
        <f ca="1">-'01'!$H$39</f>
        <v>0</v>
      </c>
      <c r="L76" s="245">
        <f ca="1">K76</f>
        <v>0</v>
      </c>
      <c r="M76" s="245">
        <f>'01'!$H$40</f>
        <v>0</v>
      </c>
      <c r="N76" s="245">
        <f>M76</f>
        <v>0</v>
      </c>
      <c r="O76" s="245">
        <f>'01'!$H$41</f>
        <v>0</v>
      </c>
      <c r="P76" s="245">
        <f>O76</f>
        <v>0</v>
      </c>
      <c r="Q76" s="245">
        <f ca="1">-'01'!$I$42</f>
        <v>0</v>
      </c>
      <c r="R76" s="245">
        <f ca="1">Q76</f>
        <v>0</v>
      </c>
    </row>
    <row r="77" spans="1:18" s="30" customFormat="1" ht="11.25" x14ac:dyDescent="0.2">
      <c r="A77" s="246">
        <v>2</v>
      </c>
      <c r="B77" s="646">
        <f ca="1">SUM('02'!$I$29,'02'!$I$35,'02'!$I$36)</f>
        <v>0</v>
      </c>
      <c r="C77" s="646"/>
      <c r="D77" s="248">
        <f ca="1">D76+B77</f>
        <v>0</v>
      </c>
      <c r="E77" s="247">
        <f t="shared" ref="E77:E89" ca="1" si="17">ROUND(B77*$E$75,2)</f>
        <v>0</v>
      </c>
      <c r="F77" s="247">
        <f ca="1">F76+E77</f>
        <v>0</v>
      </c>
      <c r="H77" s="246">
        <v>2</v>
      </c>
      <c r="I77" s="248">
        <f ca="1">'02'!$H$38</f>
        <v>0</v>
      </c>
      <c r="J77" s="248">
        <f ca="1">J76+I77</f>
        <v>0</v>
      </c>
      <c r="K77" s="248">
        <f ca="1">-'02'!$H$39</f>
        <v>0</v>
      </c>
      <c r="L77" s="248">
        <f ca="1">L76+K77</f>
        <v>0</v>
      </c>
      <c r="M77" s="248">
        <f>'02'!$H$40</f>
        <v>0</v>
      </c>
      <c r="N77" s="248">
        <f>N76+M77</f>
        <v>0</v>
      </c>
      <c r="O77" s="248">
        <f>'02'!$H$41</f>
        <v>0</v>
      </c>
      <c r="P77" s="248">
        <f>P76+O77</f>
        <v>0</v>
      </c>
      <c r="Q77" s="248">
        <f ca="1">-'02'!$I$42</f>
        <v>0</v>
      </c>
      <c r="R77" s="248">
        <f ca="1">R76+Q77</f>
        <v>0</v>
      </c>
    </row>
    <row r="78" spans="1:18" s="30" customFormat="1" ht="11.25" x14ac:dyDescent="0.2">
      <c r="A78" s="246">
        <v>3</v>
      </c>
      <c r="B78" s="646">
        <f ca="1">SUM('03'!$I$29,'03'!$I$35,'03'!$I$36)</f>
        <v>0</v>
      </c>
      <c r="C78" s="646"/>
      <c r="D78" s="248">
        <f t="shared" ref="D78:D89" ca="1" si="18">D77+B78</f>
        <v>0</v>
      </c>
      <c r="E78" s="247">
        <f t="shared" ca="1" si="17"/>
        <v>0</v>
      </c>
      <c r="F78" s="247">
        <f t="shared" ref="F78:F89" ca="1" si="19">F77+E78</f>
        <v>0</v>
      </c>
      <c r="H78" s="246">
        <v>3</v>
      </c>
      <c r="I78" s="248">
        <f ca="1">'03'!$H$38</f>
        <v>0</v>
      </c>
      <c r="J78" s="248">
        <f t="shared" ref="J78:P89" ca="1" si="20">J77+I78</f>
        <v>0</v>
      </c>
      <c r="K78" s="248">
        <f ca="1">-'03'!$H$39</f>
        <v>0</v>
      </c>
      <c r="L78" s="248">
        <f t="shared" ca="1" si="20"/>
        <v>0</v>
      </c>
      <c r="M78" s="248">
        <f>'03'!$H$40</f>
        <v>0</v>
      </c>
      <c r="N78" s="248">
        <f t="shared" si="20"/>
        <v>0</v>
      </c>
      <c r="O78" s="248">
        <f>'03'!$H$41</f>
        <v>0</v>
      </c>
      <c r="P78" s="248">
        <f t="shared" si="20"/>
        <v>0</v>
      </c>
      <c r="Q78" s="248">
        <f ca="1">-'03'!$I$42</f>
        <v>0</v>
      </c>
      <c r="R78" s="248">
        <f t="shared" ref="R78:R89" ca="1" si="21">R77+Q78</f>
        <v>0</v>
      </c>
    </row>
    <row r="79" spans="1:18" s="30" customFormat="1" ht="11.25" x14ac:dyDescent="0.2">
      <c r="A79" s="246">
        <v>4</v>
      </c>
      <c r="B79" s="646">
        <f ca="1">SUM('04'!$I$29,'04'!$I$35,'04'!$I$36)</f>
        <v>0</v>
      </c>
      <c r="C79" s="646"/>
      <c r="D79" s="248">
        <f t="shared" ca="1" si="18"/>
        <v>0</v>
      </c>
      <c r="E79" s="247">
        <f t="shared" ca="1" si="17"/>
        <v>0</v>
      </c>
      <c r="F79" s="247">
        <f t="shared" ca="1" si="19"/>
        <v>0</v>
      </c>
      <c r="H79" s="246">
        <v>4</v>
      </c>
      <c r="I79" s="248">
        <f ca="1">'04'!$H$38</f>
        <v>0</v>
      </c>
      <c r="J79" s="248">
        <f t="shared" ca="1" si="20"/>
        <v>0</v>
      </c>
      <c r="K79" s="248">
        <f ca="1">-'04'!$H$39</f>
        <v>0</v>
      </c>
      <c r="L79" s="248">
        <f t="shared" ca="1" si="20"/>
        <v>0</v>
      </c>
      <c r="M79" s="248">
        <f>'04'!$H$40</f>
        <v>0</v>
      </c>
      <c r="N79" s="248">
        <f t="shared" si="20"/>
        <v>0</v>
      </c>
      <c r="O79" s="248">
        <f>'04'!$H$41</f>
        <v>0</v>
      </c>
      <c r="P79" s="248">
        <f t="shared" si="20"/>
        <v>0</v>
      </c>
      <c r="Q79" s="248">
        <f ca="1">-'04'!$I$42</f>
        <v>0</v>
      </c>
      <c r="R79" s="248">
        <f t="shared" ca="1" si="21"/>
        <v>0</v>
      </c>
    </row>
    <row r="80" spans="1:18" s="30" customFormat="1" ht="11.25" x14ac:dyDescent="0.2">
      <c r="A80" s="246">
        <v>5</v>
      </c>
      <c r="B80" s="646">
        <f ca="1">SUM('05'!$I$29,'05'!$I$35,'05'!$I$36)</f>
        <v>0</v>
      </c>
      <c r="C80" s="646"/>
      <c r="D80" s="248">
        <f t="shared" ca="1" si="18"/>
        <v>0</v>
      </c>
      <c r="E80" s="247">
        <f t="shared" ca="1" si="17"/>
        <v>0</v>
      </c>
      <c r="F80" s="247">
        <f t="shared" ca="1" si="19"/>
        <v>0</v>
      </c>
      <c r="H80" s="246">
        <v>5</v>
      </c>
      <c r="I80" s="248">
        <f ca="1">'05'!$H$38</f>
        <v>0</v>
      </c>
      <c r="J80" s="248">
        <f t="shared" ca="1" si="20"/>
        <v>0</v>
      </c>
      <c r="K80" s="248">
        <f ca="1">-'05'!$H$39</f>
        <v>0</v>
      </c>
      <c r="L80" s="248">
        <f t="shared" ca="1" si="20"/>
        <v>0</v>
      </c>
      <c r="M80" s="248">
        <f>'05'!$H$40</f>
        <v>0</v>
      </c>
      <c r="N80" s="248">
        <f t="shared" si="20"/>
        <v>0</v>
      </c>
      <c r="O80" s="248">
        <f>'05'!$H$41</f>
        <v>0</v>
      </c>
      <c r="P80" s="248">
        <f t="shared" si="20"/>
        <v>0</v>
      </c>
      <c r="Q80" s="248">
        <f ca="1">-'05'!$I$42</f>
        <v>0</v>
      </c>
      <c r="R80" s="248">
        <f t="shared" ca="1" si="21"/>
        <v>0</v>
      </c>
    </row>
    <row r="81" spans="1:18" s="30" customFormat="1" ht="11.25" x14ac:dyDescent="0.2">
      <c r="A81" s="246">
        <v>6</v>
      </c>
      <c r="B81" s="646">
        <f ca="1">SUM('06'!$I$29,'06'!$I$35,'06'!$I$36)</f>
        <v>0</v>
      </c>
      <c r="C81" s="646"/>
      <c r="D81" s="248">
        <f t="shared" ca="1" si="18"/>
        <v>0</v>
      </c>
      <c r="E81" s="247">
        <f t="shared" ca="1" si="17"/>
        <v>0</v>
      </c>
      <c r="F81" s="247">
        <f t="shared" ca="1" si="19"/>
        <v>0</v>
      </c>
      <c r="H81" s="246">
        <v>6</v>
      </c>
      <c r="I81" s="248">
        <f ca="1">'06'!$H$38</f>
        <v>0</v>
      </c>
      <c r="J81" s="248">
        <f t="shared" ca="1" si="20"/>
        <v>0</v>
      </c>
      <c r="K81" s="248">
        <f ca="1">-'06'!$H$39</f>
        <v>0</v>
      </c>
      <c r="L81" s="248">
        <f t="shared" ca="1" si="20"/>
        <v>0</v>
      </c>
      <c r="M81" s="248">
        <f>'06'!$H$40</f>
        <v>0</v>
      </c>
      <c r="N81" s="248">
        <f t="shared" si="20"/>
        <v>0</v>
      </c>
      <c r="O81" s="248">
        <f>'06'!$H$41</f>
        <v>0</v>
      </c>
      <c r="P81" s="248">
        <f t="shared" si="20"/>
        <v>0</v>
      </c>
      <c r="Q81" s="248">
        <f ca="1">-'06'!$I$42</f>
        <v>0</v>
      </c>
      <c r="R81" s="248">
        <f t="shared" ca="1" si="21"/>
        <v>0</v>
      </c>
    </row>
    <row r="82" spans="1:18" s="30" customFormat="1" ht="11.25" x14ac:dyDescent="0.2">
      <c r="A82" s="246">
        <v>14</v>
      </c>
      <c r="B82" s="646">
        <f ca="1">SUM('14'!$I$29,'14'!$I$35,'14'!$I$36)</f>
        <v>0</v>
      </c>
      <c r="C82" s="646"/>
      <c r="D82" s="248">
        <f t="shared" ca="1" si="18"/>
        <v>0</v>
      </c>
      <c r="E82" s="247">
        <f t="shared" ca="1" si="17"/>
        <v>0</v>
      </c>
      <c r="F82" s="247">
        <f t="shared" ca="1" si="19"/>
        <v>0</v>
      </c>
      <c r="H82" s="246">
        <v>14</v>
      </c>
      <c r="I82" s="248">
        <f ca="1">'14'!$H$38</f>
        <v>0</v>
      </c>
      <c r="J82" s="248">
        <f t="shared" ca="1" si="20"/>
        <v>0</v>
      </c>
      <c r="K82" s="248">
        <f ca="1">-'14'!$H$39</f>
        <v>0</v>
      </c>
      <c r="L82" s="248">
        <f t="shared" ca="1" si="20"/>
        <v>0</v>
      </c>
      <c r="M82" s="248">
        <f>'14'!$H$40</f>
        <v>0</v>
      </c>
      <c r="N82" s="248">
        <f t="shared" si="20"/>
        <v>0</v>
      </c>
      <c r="O82" s="248">
        <f>'14'!$H$41</f>
        <v>0</v>
      </c>
      <c r="P82" s="248">
        <f t="shared" si="20"/>
        <v>0</v>
      </c>
      <c r="Q82" s="248">
        <f ca="1">-'14'!$I$42</f>
        <v>0</v>
      </c>
      <c r="R82" s="248">
        <f t="shared" ca="1" si="21"/>
        <v>0</v>
      </c>
    </row>
    <row r="83" spans="1:18" s="30" customFormat="1" ht="11.25" x14ac:dyDescent="0.2">
      <c r="A83" s="246">
        <v>7</v>
      </c>
      <c r="B83" s="646">
        <f ca="1">SUM('07'!$I$29,'07'!$I$35,'07'!$I$36)</f>
        <v>0</v>
      </c>
      <c r="C83" s="646"/>
      <c r="D83" s="248">
        <f t="shared" ca="1" si="18"/>
        <v>0</v>
      </c>
      <c r="E83" s="247">
        <f t="shared" ca="1" si="17"/>
        <v>0</v>
      </c>
      <c r="F83" s="247">
        <f t="shared" ca="1" si="19"/>
        <v>0</v>
      </c>
      <c r="H83" s="246">
        <v>7</v>
      </c>
      <c r="I83" s="248">
        <f ca="1">'07'!$H$38</f>
        <v>0</v>
      </c>
      <c r="J83" s="248">
        <f t="shared" ca="1" si="20"/>
        <v>0</v>
      </c>
      <c r="K83" s="248">
        <f ca="1">-'07'!$H$39</f>
        <v>0</v>
      </c>
      <c r="L83" s="248">
        <f t="shared" ca="1" si="20"/>
        <v>0</v>
      </c>
      <c r="M83" s="248">
        <f>'07'!$H$40</f>
        <v>0</v>
      </c>
      <c r="N83" s="248">
        <f t="shared" si="20"/>
        <v>0</v>
      </c>
      <c r="O83" s="248">
        <f>'07'!$H$41</f>
        <v>0</v>
      </c>
      <c r="P83" s="248">
        <f t="shared" si="20"/>
        <v>0</v>
      </c>
      <c r="Q83" s="248">
        <f ca="1">-'07'!$I$42</f>
        <v>0</v>
      </c>
      <c r="R83" s="248">
        <f t="shared" ca="1" si="21"/>
        <v>0</v>
      </c>
    </row>
    <row r="84" spans="1:18" s="30" customFormat="1" ht="11.25" x14ac:dyDescent="0.2">
      <c r="A84" s="246">
        <v>8</v>
      </c>
      <c r="B84" s="646">
        <f ca="1">SUM('08'!$I$29,'08'!$I$35,'08'!$I$36)</f>
        <v>0</v>
      </c>
      <c r="C84" s="646"/>
      <c r="D84" s="248">
        <f t="shared" ca="1" si="18"/>
        <v>0</v>
      </c>
      <c r="E84" s="247">
        <f t="shared" ca="1" si="17"/>
        <v>0</v>
      </c>
      <c r="F84" s="247">
        <f t="shared" ca="1" si="19"/>
        <v>0</v>
      </c>
      <c r="H84" s="246">
        <v>8</v>
      </c>
      <c r="I84" s="248">
        <f ca="1">'08'!$H$38</f>
        <v>0</v>
      </c>
      <c r="J84" s="248">
        <f t="shared" ca="1" si="20"/>
        <v>0</v>
      </c>
      <c r="K84" s="248">
        <f ca="1">-'08'!$H$39</f>
        <v>0</v>
      </c>
      <c r="L84" s="248">
        <f t="shared" ca="1" si="20"/>
        <v>0</v>
      </c>
      <c r="M84" s="248">
        <f>'08'!$H$40</f>
        <v>0</v>
      </c>
      <c r="N84" s="248">
        <f t="shared" si="20"/>
        <v>0</v>
      </c>
      <c r="O84" s="248">
        <f>'08'!$H$41</f>
        <v>0</v>
      </c>
      <c r="P84" s="248">
        <f t="shared" si="20"/>
        <v>0</v>
      </c>
      <c r="Q84" s="248">
        <f ca="1">-'08'!$I$42</f>
        <v>0</v>
      </c>
      <c r="R84" s="248">
        <f t="shared" ca="1" si="21"/>
        <v>0</v>
      </c>
    </row>
    <row r="85" spans="1:18" s="30" customFormat="1" ht="11.25" x14ac:dyDescent="0.2">
      <c r="A85" s="246">
        <v>9</v>
      </c>
      <c r="B85" s="646">
        <f ca="1">SUM('09'!$I$29,'09'!$I$35,'09'!$I$36)</f>
        <v>0</v>
      </c>
      <c r="C85" s="646"/>
      <c r="D85" s="248">
        <f t="shared" ca="1" si="18"/>
        <v>0</v>
      </c>
      <c r="E85" s="247">
        <f t="shared" ca="1" si="17"/>
        <v>0</v>
      </c>
      <c r="F85" s="247">
        <f t="shared" ca="1" si="19"/>
        <v>0</v>
      </c>
      <c r="H85" s="246">
        <v>9</v>
      </c>
      <c r="I85" s="248">
        <f ca="1">'09'!$H$38</f>
        <v>0</v>
      </c>
      <c r="J85" s="248">
        <f t="shared" ca="1" si="20"/>
        <v>0</v>
      </c>
      <c r="K85" s="248">
        <f ca="1">-'09'!$H$39</f>
        <v>0</v>
      </c>
      <c r="L85" s="248">
        <f t="shared" ca="1" si="20"/>
        <v>0</v>
      </c>
      <c r="M85" s="248">
        <f>'09'!$H$40</f>
        <v>0</v>
      </c>
      <c r="N85" s="248">
        <f t="shared" si="20"/>
        <v>0</v>
      </c>
      <c r="O85" s="248">
        <f>'09'!$H$41</f>
        <v>0</v>
      </c>
      <c r="P85" s="248">
        <f t="shared" si="20"/>
        <v>0</v>
      </c>
      <c r="Q85" s="248">
        <f ca="1">-'09'!$I$42</f>
        <v>0</v>
      </c>
      <c r="R85" s="248">
        <f t="shared" ca="1" si="21"/>
        <v>0</v>
      </c>
    </row>
    <row r="86" spans="1:18" s="30" customFormat="1" ht="11.25" x14ac:dyDescent="0.2">
      <c r="A86" s="246">
        <v>10</v>
      </c>
      <c r="B86" s="646">
        <f ca="1">SUM('10'!$I$29,'10'!$I$35,'10'!$I$36)</f>
        <v>0</v>
      </c>
      <c r="C86" s="646"/>
      <c r="D86" s="248">
        <f t="shared" ca="1" si="18"/>
        <v>0</v>
      </c>
      <c r="E86" s="247">
        <f t="shared" ca="1" si="17"/>
        <v>0</v>
      </c>
      <c r="F86" s="247">
        <f t="shared" ca="1" si="19"/>
        <v>0</v>
      </c>
      <c r="H86" s="246">
        <v>10</v>
      </c>
      <c r="I86" s="248">
        <f ca="1">'10'!$H$38</f>
        <v>0</v>
      </c>
      <c r="J86" s="248">
        <f t="shared" ca="1" si="20"/>
        <v>0</v>
      </c>
      <c r="K86" s="248">
        <f ca="1">-'10'!$H$39</f>
        <v>0</v>
      </c>
      <c r="L86" s="248">
        <f t="shared" ca="1" si="20"/>
        <v>0</v>
      </c>
      <c r="M86" s="248">
        <f>'10'!$H$40</f>
        <v>0</v>
      </c>
      <c r="N86" s="248">
        <f t="shared" si="20"/>
        <v>0</v>
      </c>
      <c r="O86" s="248">
        <f>'10'!$H$41</f>
        <v>0</v>
      </c>
      <c r="P86" s="248">
        <f t="shared" si="20"/>
        <v>0</v>
      </c>
      <c r="Q86" s="248">
        <f ca="1">-'10'!$I$42</f>
        <v>0</v>
      </c>
      <c r="R86" s="248">
        <f t="shared" ca="1" si="21"/>
        <v>0</v>
      </c>
    </row>
    <row r="87" spans="1:18" s="30" customFormat="1" ht="11.25" x14ac:dyDescent="0.2">
      <c r="A87" s="246">
        <v>11</v>
      </c>
      <c r="B87" s="646">
        <f ca="1">SUM('11'!$I$29,'11'!$I$35,'11'!$I$36)</f>
        <v>0</v>
      </c>
      <c r="C87" s="646"/>
      <c r="D87" s="248">
        <f t="shared" ca="1" si="18"/>
        <v>0</v>
      </c>
      <c r="E87" s="247">
        <f t="shared" ca="1" si="17"/>
        <v>0</v>
      </c>
      <c r="F87" s="247">
        <f t="shared" ca="1" si="19"/>
        <v>0</v>
      </c>
      <c r="H87" s="246">
        <v>11</v>
      </c>
      <c r="I87" s="248">
        <f ca="1">'11'!$H$38</f>
        <v>0</v>
      </c>
      <c r="J87" s="248">
        <f t="shared" ca="1" si="20"/>
        <v>0</v>
      </c>
      <c r="K87" s="248">
        <f ca="1">-'11'!$H$39</f>
        <v>0</v>
      </c>
      <c r="L87" s="248">
        <f t="shared" ca="1" si="20"/>
        <v>0</v>
      </c>
      <c r="M87" s="248">
        <f>'11'!$H$40</f>
        <v>0</v>
      </c>
      <c r="N87" s="248">
        <f t="shared" si="20"/>
        <v>0</v>
      </c>
      <c r="O87" s="248">
        <f>'11'!$H$41</f>
        <v>0</v>
      </c>
      <c r="P87" s="248">
        <f t="shared" si="20"/>
        <v>0</v>
      </c>
      <c r="Q87" s="248">
        <f ca="1">-'11'!$I$42</f>
        <v>0</v>
      </c>
      <c r="R87" s="248">
        <f t="shared" ca="1" si="21"/>
        <v>0</v>
      </c>
    </row>
    <row r="88" spans="1:18" s="30" customFormat="1" ht="11.25" x14ac:dyDescent="0.2">
      <c r="A88" s="246">
        <v>13</v>
      </c>
      <c r="B88" s="646">
        <f ca="1">SUM('13'!$I$29,'13'!$I$35,'13'!$I$36)</f>
        <v>0</v>
      </c>
      <c r="C88" s="646"/>
      <c r="D88" s="248">
        <f t="shared" ca="1" si="18"/>
        <v>0</v>
      </c>
      <c r="E88" s="247">
        <f t="shared" ca="1" si="17"/>
        <v>0</v>
      </c>
      <c r="F88" s="247">
        <f t="shared" ca="1" si="19"/>
        <v>0</v>
      </c>
      <c r="H88" s="246">
        <v>13</v>
      </c>
      <c r="I88" s="248">
        <f ca="1">'13'!$H$38</f>
        <v>0</v>
      </c>
      <c r="J88" s="248">
        <f t="shared" ca="1" si="20"/>
        <v>0</v>
      </c>
      <c r="K88" s="248">
        <f ca="1">-'13'!$H$39</f>
        <v>0</v>
      </c>
      <c r="L88" s="248">
        <f t="shared" ca="1" si="20"/>
        <v>0</v>
      </c>
      <c r="M88" s="248">
        <f>'13'!$H$40</f>
        <v>0</v>
      </c>
      <c r="N88" s="248">
        <f t="shared" si="20"/>
        <v>0</v>
      </c>
      <c r="O88" s="248">
        <f>'13'!$H$41</f>
        <v>0</v>
      </c>
      <c r="P88" s="248">
        <f t="shared" si="20"/>
        <v>0</v>
      </c>
      <c r="Q88" s="248">
        <f ca="1">-'13'!$I$42</f>
        <v>0</v>
      </c>
      <c r="R88" s="248">
        <f t="shared" ca="1" si="21"/>
        <v>0</v>
      </c>
    </row>
    <row r="89" spans="1:18" s="30" customFormat="1" ht="11.25" x14ac:dyDescent="0.2">
      <c r="A89" s="249">
        <v>12</v>
      </c>
      <c r="B89" s="663">
        <f ca="1">SUM('12'!$I$29,'12'!$I$35,'12'!$I$36)</f>
        <v>0</v>
      </c>
      <c r="C89" s="663"/>
      <c r="D89" s="251">
        <f t="shared" ca="1" si="18"/>
        <v>0</v>
      </c>
      <c r="E89" s="250">
        <f t="shared" ca="1" si="17"/>
        <v>0</v>
      </c>
      <c r="F89" s="250">
        <f t="shared" ca="1" si="19"/>
        <v>0</v>
      </c>
      <c r="H89" s="249">
        <v>12</v>
      </c>
      <c r="I89" s="251">
        <f ca="1">'12'!$H$38</f>
        <v>0</v>
      </c>
      <c r="J89" s="251">
        <f t="shared" ca="1" si="20"/>
        <v>0</v>
      </c>
      <c r="K89" s="251">
        <f ca="1">-'12'!$H$39</f>
        <v>0</v>
      </c>
      <c r="L89" s="251">
        <f t="shared" ca="1" si="20"/>
        <v>0</v>
      </c>
      <c r="M89" s="251">
        <f>'12'!$H$40</f>
        <v>0</v>
      </c>
      <c r="N89" s="251">
        <f t="shared" si="20"/>
        <v>0</v>
      </c>
      <c r="O89" s="251">
        <f>'12'!$H$41</f>
        <v>0</v>
      </c>
      <c r="P89" s="251">
        <f t="shared" si="20"/>
        <v>0</v>
      </c>
      <c r="Q89" s="251">
        <f ca="1">-'12'!$I$42</f>
        <v>0</v>
      </c>
      <c r="R89" s="251">
        <f t="shared" ca="1" si="21"/>
        <v>0</v>
      </c>
    </row>
    <row r="92" spans="1:18" ht="21" customHeight="1" x14ac:dyDescent="0.2">
      <c r="A92" s="643" t="s">
        <v>64</v>
      </c>
      <c r="B92" s="643" t="s">
        <v>84</v>
      </c>
      <c r="C92" s="643" t="s">
        <v>85</v>
      </c>
      <c r="D92" s="643" t="s">
        <v>135</v>
      </c>
      <c r="E92" s="643" t="s">
        <v>86</v>
      </c>
      <c r="F92" s="643" t="s">
        <v>87</v>
      </c>
    </row>
    <row r="93" spans="1:18" ht="26.25" customHeight="1" x14ac:dyDescent="0.2">
      <c r="A93" s="644"/>
      <c r="B93" s="644"/>
      <c r="C93" s="644"/>
      <c r="D93" s="644"/>
      <c r="E93" s="644"/>
      <c r="F93" s="645"/>
    </row>
    <row r="94" spans="1:18" x14ac:dyDescent="0.2">
      <c r="A94" s="37">
        <v>1</v>
      </c>
      <c r="B94" s="37">
        <f ca="1">IF(A94&gt;12,0,IF(I76=0,0,1))</f>
        <v>0</v>
      </c>
      <c r="C94" s="37">
        <f ca="1">B94</f>
        <v>0</v>
      </c>
      <c r="D94" s="37">
        <v>31</v>
      </c>
      <c r="E94" s="37">
        <f ca="1">IF('01'!$R$9="",IF(I76=0,0,D94),'01'!$R$9)</f>
        <v>0</v>
      </c>
      <c r="F94" s="37">
        <f ca="1">E94</f>
        <v>0</v>
      </c>
    </row>
    <row r="95" spans="1:18" x14ac:dyDescent="0.2">
      <c r="A95" s="41">
        <v>2</v>
      </c>
      <c r="B95" s="41">
        <f t="shared" ref="B95:B107" ca="1" si="22">IF(A95&gt;12,0,IF(I77=0,0,1))</f>
        <v>0</v>
      </c>
      <c r="C95" s="41">
        <f ca="1">C94+B95</f>
        <v>0</v>
      </c>
      <c r="D95" s="41">
        <v>28</v>
      </c>
      <c r="E95" s="41">
        <f ca="1">IF('02'!$R$9="",IF(I77=0,0,D95),'02'!$R$9)</f>
        <v>0</v>
      </c>
      <c r="F95" s="41">
        <f ca="1">F94+E95</f>
        <v>0</v>
      </c>
    </row>
    <row r="96" spans="1:18" x14ac:dyDescent="0.2">
      <c r="A96" s="41">
        <v>3</v>
      </c>
      <c r="B96" s="41">
        <f t="shared" ca="1" si="22"/>
        <v>0</v>
      </c>
      <c r="C96" s="41">
        <f t="shared" ref="C96:C107" ca="1" si="23">C95+B96</f>
        <v>0</v>
      </c>
      <c r="D96" s="41">
        <v>31</v>
      </c>
      <c r="E96" s="41">
        <f ca="1">IF('03'!$R$9="",IF(I78=0,0,D96),'03'!$R$9)</f>
        <v>0</v>
      </c>
      <c r="F96" s="41">
        <f t="shared" ref="F96:F107" ca="1" si="24">F95+E96</f>
        <v>0</v>
      </c>
    </row>
    <row r="97" spans="1:6" x14ac:dyDescent="0.2">
      <c r="A97" s="41">
        <v>4</v>
      </c>
      <c r="B97" s="41">
        <f t="shared" ca="1" si="22"/>
        <v>0</v>
      </c>
      <c r="C97" s="41">
        <f t="shared" ca="1" si="23"/>
        <v>0</v>
      </c>
      <c r="D97" s="41">
        <v>30</v>
      </c>
      <c r="E97" s="41">
        <f ca="1">IF('04'!$R$9="",IF(I79=0,0,D97),'04'!$R$9)</f>
        <v>0</v>
      </c>
      <c r="F97" s="41">
        <f t="shared" ca="1" si="24"/>
        <v>0</v>
      </c>
    </row>
    <row r="98" spans="1:6" x14ac:dyDescent="0.2">
      <c r="A98" s="41">
        <v>5</v>
      </c>
      <c r="B98" s="41">
        <f t="shared" ca="1" si="22"/>
        <v>0</v>
      </c>
      <c r="C98" s="41">
        <f t="shared" ca="1" si="23"/>
        <v>0</v>
      </c>
      <c r="D98" s="41">
        <v>31</v>
      </c>
      <c r="E98" s="41">
        <f ca="1">IF('05'!$R$9="",IF(I80=0,0,D98),'05'!$R$9)</f>
        <v>0</v>
      </c>
      <c r="F98" s="41">
        <f t="shared" ca="1" si="24"/>
        <v>0</v>
      </c>
    </row>
    <row r="99" spans="1:6" x14ac:dyDescent="0.2">
      <c r="A99" s="41">
        <v>6</v>
      </c>
      <c r="B99" s="41">
        <f t="shared" ca="1" si="22"/>
        <v>0</v>
      </c>
      <c r="C99" s="41">
        <f t="shared" ca="1" si="23"/>
        <v>0</v>
      </c>
      <c r="D99" s="41">
        <v>30</v>
      </c>
      <c r="E99" s="41">
        <f ca="1">IF('06'!$R$9="",IF(I81=0,0,D99),'06'!$R$9)</f>
        <v>0</v>
      </c>
      <c r="F99" s="41">
        <f t="shared" ca="1" si="24"/>
        <v>0</v>
      </c>
    </row>
    <row r="100" spans="1:6" x14ac:dyDescent="0.2">
      <c r="A100" s="41">
        <v>14</v>
      </c>
      <c r="B100" s="41">
        <f t="shared" si="22"/>
        <v>0</v>
      </c>
      <c r="C100" s="41">
        <f t="shared" ca="1" si="23"/>
        <v>0</v>
      </c>
      <c r="D100" s="41">
        <v>0</v>
      </c>
      <c r="E100" s="41">
        <f ca="1">IF('14'!$R$9="",IF(I82=0,0,D100),'14'!$R$9)</f>
        <v>0</v>
      </c>
      <c r="F100" s="41">
        <f t="shared" ca="1" si="24"/>
        <v>0</v>
      </c>
    </row>
    <row r="101" spans="1:6" x14ac:dyDescent="0.2">
      <c r="A101" s="41">
        <v>7</v>
      </c>
      <c r="B101" s="41">
        <f t="shared" ca="1" si="22"/>
        <v>0</v>
      </c>
      <c r="C101" s="41">
        <f t="shared" ca="1" si="23"/>
        <v>0</v>
      </c>
      <c r="D101" s="41">
        <v>31</v>
      </c>
      <c r="E101" s="41">
        <f ca="1">IF('07'!$R$9="",IF(I83=0,0,D101),'07'!$R$9)</f>
        <v>0</v>
      </c>
      <c r="F101" s="41">
        <f t="shared" ca="1" si="24"/>
        <v>0</v>
      </c>
    </row>
    <row r="102" spans="1:6" x14ac:dyDescent="0.2">
      <c r="A102" s="41">
        <v>8</v>
      </c>
      <c r="B102" s="41">
        <f t="shared" ca="1" si="22"/>
        <v>0</v>
      </c>
      <c r="C102" s="41">
        <f t="shared" ca="1" si="23"/>
        <v>0</v>
      </c>
      <c r="D102" s="41">
        <v>31</v>
      </c>
      <c r="E102" s="41">
        <f ca="1">IF('08'!$R$9="",IF(I84=0,0,D102),'08'!$R$9)</f>
        <v>0</v>
      </c>
      <c r="F102" s="41">
        <f t="shared" ca="1" si="24"/>
        <v>0</v>
      </c>
    </row>
    <row r="103" spans="1:6" x14ac:dyDescent="0.2">
      <c r="A103" s="41">
        <v>9</v>
      </c>
      <c r="B103" s="41">
        <f t="shared" ca="1" si="22"/>
        <v>0</v>
      </c>
      <c r="C103" s="41">
        <f t="shared" ca="1" si="23"/>
        <v>0</v>
      </c>
      <c r="D103" s="41">
        <v>30</v>
      </c>
      <c r="E103" s="41">
        <f ca="1">IF('09'!$R$9="",IF(I85=0,0,D103),'09'!$R$9)</f>
        <v>0</v>
      </c>
      <c r="F103" s="41">
        <f t="shared" ca="1" si="24"/>
        <v>0</v>
      </c>
    </row>
    <row r="104" spans="1:6" x14ac:dyDescent="0.2">
      <c r="A104" s="41">
        <v>10</v>
      </c>
      <c r="B104" s="41">
        <f t="shared" ca="1" si="22"/>
        <v>0</v>
      </c>
      <c r="C104" s="41">
        <f t="shared" ca="1" si="23"/>
        <v>0</v>
      </c>
      <c r="D104" s="41">
        <v>31</v>
      </c>
      <c r="E104" s="41">
        <f ca="1">IF('10'!$R$9="",IF(I86=0,0,D104),'10'!$R$9)</f>
        <v>0</v>
      </c>
      <c r="F104" s="41">
        <f t="shared" ca="1" si="24"/>
        <v>0</v>
      </c>
    </row>
    <row r="105" spans="1:6" x14ac:dyDescent="0.2">
      <c r="A105" s="41">
        <v>11</v>
      </c>
      <c r="B105" s="41">
        <f t="shared" ca="1" si="22"/>
        <v>0</v>
      </c>
      <c r="C105" s="41">
        <f t="shared" ca="1" si="23"/>
        <v>0</v>
      </c>
      <c r="D105" s="41">
        <v>30</v>
      </c>
      <c r="E105" s="41">
        <f ca="1">IF('11'!$R$9="",IF(I87=0,0,D105),'11'!$R$9)</f>
        <v>0</v>
      </c>
      <c r="F105" s="41">
        <f t="shared" ca="1" si="24"/>
        <v>0</v>
      </c>
    </row>
    <row r="106" spans="1:6" x14ac:dyDescent="0.2">
      <c r="A106" s="41">
        <v>13</v>
      </c>
      <c r="B106" s="41">
        <f t="shared" si="22"/>
        <v>0</v>
      </c>
      <c r="C106" s="41">
        <f t="shared" ca="1" si="23"/>
        <v>0</v>
      </c>
      <c r="D106" s="41">
        <v>0</v>
      </c>
      <c r="E106" s="41">
        <f ca="1">IF('13'!$R$9="",IF(I88=0,0,D106),'13'!$R$9)</f>
        <v>0</v>
      </c>
      <c r="F106" s="41">
        <f t="shared" ca="1" si="24"/>
        <v>0</v>
      </c>
    </row>
    <row r="107" spans="1:6" x14ac:dyDescent="0.2">
      <c r="A107" s="45">
        <v>12</v>
      </c>
      <c r="B107" s="45">
        <f t="shared" ca="1" si="22"/>
        <v>0</v>
      </c>
      <c r="C107" s="45">
        <f t="shared" ca="1" si="23"/>
        <v>0</v>
      </c>
      <c r="D107" s="45">
        <v>31</v>
      </c>
      <c r="E107" s="45">
        <f ca="1">IF('12'!$R$9="",IF(I89=0,0,D107),'12'!$R$9)</f>
        <v>0</v>
      </c>
      <c r="F107" s="45">
        <f t="shared" ca="1" si="24"/>
        <v>0</v>
      </c>
    </row>
    <row r="108" spans="1:6" x14ac:dyDescent="0.2">
      <c r="D108" s="45">
        <f>SUM(D94:D107)</f>
        <v>365</v>
      </c>
    </row>
  </sheetData>
  <sheetProtection sheet="1" objects="1" scenarios="1"/>
  <mergeCells count="88">
    <mergeCell ref="R40:R41"/>
    <mergeCell ref="P43:P44"/>
    <mergeCell ref="Q43:Q44"/>
    <mergeCell ref="R43:R44"/>
    <mergeCell ref="P40:Q40"/>
    <mergeCell ref="P41:Q41"/>
    <mergeCell ref="B80:C80"/>
    <mergeCell ref="B81:C81"/>
    <mergeCell ref="B88:C88"/>
    <mergeCell ref="B89:C89"/>
    <mergeCell ref="B84:C84"/>
    <mergeCell ref="B85:C85"/>
    <mergeCell ref="B86:C86"/>
    <mergeCell ref="B87:C87"/>
    <mergeCell ref="B76:C76"/>
    <mergeCell ref="B77:C77"/>
    <mergeCell ref="B78:C78"/>
    <mergeCell ref="D13:D14"/>
    <mergeCell ref="B56:C56"/>
    <mergeCell ref="B57:C57"/>
    <mergeCell ref="B51:C51"/>
    <mergeCell ref="B52:C52"/>
    <mergeCell ref="B53:C53"/>
    <mergeCell ref="B54:C54"/>
    <mergeCell ref="B79:C79"/>
    <mergeCell ref="H43:H44"/>
    <mergeCell ref="I43:I44"/>
    <mergeCell ref="D43:D44"/>
    <mergeCell ref="E43:E44"/>
    <mergeCell ref="B46:C46"/>
    <mergeCell ref="F43:F44"/>
    <mergeCell ref="B58:C58"/>
    <mergeCell ref="B47:C47"/>
    <mergeCell ref="B55:C55"/>
    <mergeCell ref="D74:D75"/>
    <mergeCell ref="B74:C75"/>
    <mergeCell ref="B48:C48"/>
    <mergeCell ref="B49:C49"/>
    <mergeCell ref="B50:C50"/>
    <mergeCell ref="B45:C45"/>
    <mergeCell ref="L43:L44"/>
    <mergeCell ref="I13:I14"/>
    <mergeCell ref="H13:H14"/>
    <mergeCell ref="N40:N41"/>
    <mergeCell ref="G13:G14"/>
    <mergeCell ref="N13:N14"/>
    <mergeCell ref="L13:L14"/>
    <mergeCell ref="J13:J14"/>
    <mergeCell ref="M13:M14"/>
    <mergeCell ref="J43:J44"/>
    <mergeCell ref="N43:N44"/>
    <mergeCell ref="M43:M44"/>
    <mergeCell ref="K13:K14"/>
    <mergeCell ref="J40:J41"/>
    <mergeCell ref="E8:E9"/>
    <mergeCell ref="D8:D9"/>
    <mergeCell ref="F13:F14"/>
    <mergeCell ref="F8:F9"/>
    <mergeCell ref="E13:E14"/>
    <mergeCell ref="A43:A44"/>
    <mergeCell ref="B43:C44"/>
    <mergeCell ref="B8:B9"/>
    <mergeCell ref="B13:B14"/>
    <mergeCell ref="C13:C14"/>
    <mergeCell ref="A8:A9"/>
    <mergeCell ref="A13:A14"/>
    <mergeCell ref="C8:C9"/>
    <mergeCell ref="A74:A75"/>
    <mergeCell ref="F74:F75"/>
    <mergeCell ref="J74:J75"/>
    <mergeCell ref="N74:N75"/>
    <mergeCell ref="K74:K75"/>
    <mergeCell ref="Q74:Q75"/>
    <mergeCell ref="R74:R75"/>
    <mergeCell ref="A92:A93"/>
    <mergeCell ref="B92:B93"/>
    <mergeCell ref="C92:C93"/>
    <mergeCell ref="D92:D93"/>
    <mergeCell ref="E92:E93"/>
    <mergeCell ref="F92:F93"/>
    <mergeCell ref="B82:C82"/>
    <mergeCell ref="B83:C83"/>
    <mergeCell ref="H74:H75"/>
    <mergeCell ref="I74:I75"/>
    <mergeCell ref="P74:P75"/>
    <mergeCell ref="O74:O75"/>
    <mergeCell ref="M74:M75"/>
    <mergeCell ref="L74:L75"/>
  </mergeCells>
  <phoneticPr fontId="2" type="noConversion"/>
  <printOptions horizontalCentered="1"/>
  <pageMargins left="0" right="0" top="0.39370078740157483" bottom="0.39370078740157483" header="0" footer="0"/>
  <pageSetup paperSize="9" orientation="landscape" horizontalDpi="200" verticalDpi="200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Tabelle17"/>
  <dimension ref="A1:AA19"/>
  <sheetViews>
    <sheetView showGridLines="0" workbookViewId="0">
      <selection activeCell="B1" sqref="B1"/>
    </sheetView>
  </sheetViews>
  <sheetFormatPr baseColWidth="10" defaultRowHeight="12.75" x14ac:dyDescent="0.2"/>
  <cols>
    <col min="1" max="1" width="3.28515625" customWidth="1"/>
    <col min="2" max="2" width="21.85546875" customWidth="1"/>
    <col min="3" max="3" width="24.7109375" customWidth="1"/>
    <col min="4" max="4" width="7.140625" customWidth="1"/>
    <col min="5" max="5" width="12.42578125" customWidth="1"/>
    <col min="6" max="6" width="12.28515625" customWidth="1"/>
    <col min="7" max="8" width="7.140625" customWidth="1"/>
    <col min="9" max="9" width="9.7109375" customWidth="1"/>
    <col min="10" max="10" width="10.28515625" customWidth="1"/>
    <col min="11" max="11" width="10.42578125" customWidth="1"/>
    <col min="12" max="12" width="6.28515625" customWidth="1"/>
    <col min="13" max="13" width="7.140625" customWidth="1"/>
    <col min="14" max="14" width="6.28515625" customWidth="1"/>
    <col min="15" max="15" width="9" customWidth="1"/>
    <col min="16" max="16" width="9.5703125" customWidth="1"/>
    <col min="17" max="27" width="7.85546875" customWidth="1"/>
  </cols>
  <sheetData>
    <row r="1" spans="1:27" x14ac:dyDescent="0.2">
      <c r="A1" s="71" t="s">
        <v>133</v>
      </c>
    </row>
    <row r="2" spans="1:27" ht="8.4499999999999993" customHeight="1" x14ac:dyDescent="0.2"/>
    <row r="3" spans="1:27" s="196" customFormat="1" ht="34.15" customHeight="1" x14ac:dyDescent="0.15">
      <c r="A3" s="672" t="str">
        <f>'[1]Mit-1'!A3:A4</f>
        <v>Nr.</v>
      </c>
      <c r="B3" s="674" t="str">
        <f>'[1]Mit-1'!B3:B4</f>
        <v>Name u. Vorname
Cognome e nome</v>
      </c>
      <c r="C3" s="674" t="str">
        <f>'[1]Mit-1'!C3:C4</f>
        <v>Anschrift
Indirizzo</v>
      </c>
      <c r="D3" s="668" t="str">
        <f>'[1]Mit-1'!D3:D4</f>
        <v>Geburts-
datum 
Data di nascita</v>
      </c>
      <c r="E3" s="674" t="str">
        <f>'[1]Mit-1'!E3:E4</f>
        <v>Geburtsort
Luogo di nascita</v>
      </c>
      <c r="F3" s="668" t="str">
        <f>'[1]Mit-1'!F3:F4</f>
        <v>Steuernummer
Codice Fiscale</v>
      </c>
      <c r="G3" s="668" t="str">
        <f>'[1]Mit-1'!G3:G4</f>
        <v>Eintritts-
datum
Data assunzione</v>
      </c>
      <c r="H3" s="670" t="str">
        <f>'[1]Mit-1'!H3:H4</f>
        <v>Austritts-datum
Data licenziam.</v>
      </c>
      <c r="I3" s="668" t="str">
        <f>'[1]Mit-1'!I3:I4</f>
        <v>Regionaler Steuerzuschlag IRPEF
Vorjahr
Addizionale regionale 
anno precedente 
(siehe unten)
(vedasi sotto)</v>
      </c>
      <c r="J3" s="677" t="str">
        <f>'[1]Mit-1'!J3:J4</f>
        <v>Gemeinde-Zusatzsteuer
Vorjahr
Addizionale comunale
anno precedente
(siehe unten)
(vedasi sotto)</v>
      </c>
      <c r="K3" s="643" t="str">
        <f>'[1]Mit-1'!K3:K4</f>
        <v>voraussichtl. Einkommen  lfd. Jahr
(für Berechnung  Absetzbeträge)
Reddito presunto anno corrente
(per il calcolo delle detrazioni d'imposta)</v>
      </c>
      <c r="L3" s="643" t="str">
        <f>'[1]Mit-1'!L3:L4</f>
        <v xml:space="preserve">Monatliche Freibeträge vom Einkommen  Art.10 
(z.B. Unterhalts-
zahlung an getrennten Ehepartner)
Detrazioni mensili dal reddito Art. 10
(p.es. alimenti all'ex coniuge) </v>
      </c>
      <c r="M3" s="643" t="str">
        <f>'[1]Mit-1'!M3:M4</f>
        <v>Jährlicher Steuerabsetz-betrag für abhängige Arbeit
Detrazione annua d'imposta per lavoro dipendente</v>
      </c>
      <c r="N3" s="643" t="str">
        <f>'[1]Mit-1'!N3:N4</f>
        <v>Jährlicher Steuerabsetz-betrag für zu Lasten lebenden Ehepartner
Detrazione annua d'imposta per coniuge a carico</v>
      </c>
      <c r="O3" s="643" t="str">
        <f>'[1]Mit-1'!O3:O4</f>
        <v>Jährlicher Steuerabsetz-
betrag für zu Lasten lebende Kinder 21-24 J.
Detrazione annua dal reddito per figli a carico 
21-24 a.</v>
      </c>
      <c r="P3" s="643" t="str">
        <f>'[1]Mit-1'!P3:P4</f>
        <v xml:space="preserve">Jährlicher Steuerabsetz-
betrag für andere zu Lasten lebende Personen
Detrazione annua dal reddito per altre persone a carico 
</v>
      </c>
      <c r="Q3" s="643" t="str">
        <f>'[1]Mit-1'!Q3:Q4</f>
        <v>Gemeinde-
zusatz-
steuer
Addizion. comunale
%</v>
      </c>
      <c r="R3" s="643" t="str">
        <f>'[1]Mit-1'!R3:R4</f>
        <v>Zusatzrenten-fonds
Arbeitnehmer
%
Fondi di previdenza complem. dipendente
%</v>
      </c>
      <c r="S3" s="643" t="str">
        <f>'[1]Mit-1'!S3:S4</f>
        <v>Regionale Zusatz-
steuer
%
Addizion. regionale 
%</v>
      </c>
      <c r="T3" s="643" t="str">
        <f>'[1]Mit-1'!U3:U4</f>
        <v>Abfertigungs-fonds Vorjahr
Fondo TFR 
anno precedente</v>
      </c>
      <c r="U3" s="289"/>
      <c r="V3" s="680" t="s">
        <v>210</v>
      </c>
      <c r="W3" s="680"/>
      <c r="X3" s="680"/>
      <c r="Y3" s="680"/>
      <c r="Z3" s="680"/>
      <c r="AA3" s="679" t="s">
        <v>211</v>
      </c>
    </row>
    <row r="4" spans="1:27" s="197" customFormat="1" ht="77.25" customHeight="1" x14ac:dyDescent="0.2">
      <c r="A4" s="673"/>
      <c r="B4" s="675"/>
      <c r="C4" s="675"/>
      <c r="D4" s="669"/>
      <c r="E4" s="675"/>
      <c r="F4" s="676"/>
      <c r="G4" s="669"/>
      <c r="H4" s="671"/>
      <c r="I4" s="669"/>
      <c r="J4" s="678"/>
      <c r="K4" s="645"/>
      <c r="L4" s="645"/>
      <c r="M4" s="645"/>
      <c r="N4" s="645"/>
      <c r="O4" s="645"/>
      <c r="P4" s="645"/>
      <c r="Q4" s="645"/>
      <c r="R4" s="645"/>
      <c r="S4" s="645"/>
      <c r="T4" s="645"/>
      <c r="U4" s="291" t="s">
        <v>212</v>
      </c>
      <c r="V4" s="291" t="s">
        <v>213</v>
      </c>
      <c r="W4" s="289" t="s">
        <v>214</v>
      </c>
      <c r="X4" s="289" t="s">
        <v>215</v>
      </c>
      <c r="Y4" s="289" t="s">
        <v>216</v>
      </c>
      <c r="Z4" s="289" t="s">
        <v>217</v>
      </c>
      <c r="AA4" s="679"/>
    </row>
    <row r="5" spans="1:27" s="196" customFormat="1" ht="13.15" customHeight="1" x14ac:dyDescent="0.15">
      <c r="A5" s="292">
        <f>'[1]Mit-1'!A5</f>
        <v>1</v>
      </c>
      <c r="B5" s="293" t="str">
        <f>'[1]Mit-1'!B5</f>
        <v>AAAAA BBBBB</v>
      </c>
      <c r="C5" s="293" t="str">
        <f>'[1]Mit-1'!C5</f>
        <v>Michael-Pacher-Straße 10, 39031 Bruneck</v>
      </c>
      <c r="D5" s="294">
        <f>'[1]Mit-1'!D5</f>
        <v>30723</v>
      </c>
      <c r="E5" s="293" t="str">
        <f>'[1]Mit-1'!E5</f>
        <v>Bruneck</v>
      </c>
      <c r="F5" s="290" t="str">
        <f>'[1]Mit-1'!F5</f>
        <v>AAABBB84B11B220G</v>
      </c>
      <c r="G5" s="294">
        <f>'[1]Mit-1'!G5</f>
        <v>45597</v>
      </c>
      <c r="H5" s="294">
        <f>'[1]Mit-1'!H5</f>
        <v>0</v>
      </c>
      <c r="I5" s="295">
        <f>'[1]Mit-1'!I5</f>
        <v>0</v>
      </c>
      <c r="J5" s="295">
        <f>'[1]Mit-1'!J5</f>
        <v>0</v>
      </c>
      <c r="K5" s="295">
        <f>'[1]Mit-1'!K5</f>
        <v>35000</v>
      </c>
      <c r="L5" s="296">
        <f>'[1]Mit-1'!L5</f>
        <v>0</v>
      </c>
      <c r="M5" s="296">
        <f>'[1]Mit-1'!M5</f>
        <v>1367.24</v>
      </c>
      <c r="N5" s="296">
        <f>'[1]Mit-1'!N5</f>
        <v>0</v>
      </c>
      <c r="O5" s="295">
        <f>'[1]Mit-1'!O5</f>
        <v>0</v>
      </c>
      <c r="P5" s="297">
        <f>'[1]Mit-1'!P5</f>
        <v>0</v>
      </c>
      <c r="Q5" s="298">
        <f>'[1]Mit-1'!Q5</f>
        <v>3.0000000000000001E-3</v>
      </c>
      <c r="R5" s="298">
        <f>'[1]Mit-1'!R5</f>
        <v>5.4999999999999997E-3</v>
      </c>
      <c r="S5" s="298">
        <f>'[1]Mit-1'!S5</f>
        <v>1.23E-2</v>
      </c>
      <c r="T5" s="297">
        <f>'[1]Mit-1'!U5</f>
        <v>0</v>
      </c>
      <c r="U5" s="297" t="str">
        <f>'[1]Mit-1'!V5</f>
        <v>Nein</v>
      </c>
      <c r="V5" s="297" t="str">
        <f>'[1]Mit-1'!W5</f>
        <v>Nein</v>
      </c>
      <c r="W5" s="297">
        <f>'[1]Mit-1'!X5</f>
        <v>3</v>
      </c>
      <c r="X5" s="297">
        <f>'[1]Mit-1'!Y5</f>
        <v>0</v>
      </c>
      <c r="Y5" s="297">
        <f>'[1]Mit-1'!Z5</f>
        <v>0</v>
      </c>
      <c r="Z5" s="297">
        <f>'[1]Mit-1'!AA5</f>
        <v>0</v>
      </c>
      <c r="AA5" s="297">
        <f>'[1]Mit-1'!AB5</f>
        <v>0</v>
      </c>
    </row>
    <row r="6" spans="1:27" s="196" customFormat="1" ht="13.15" customHeight="1" x14ac:dyDescent="0.15">
      <c r="A6" s="292">
        <f>'[1]Mit-1'!A6</f>
        <v>2</v>
      </c>
      <c r="B6" s="293">
        <f>'[1]Mit-1'!B6</f>
        <v>0</v>
      </c>
      <c r="C6" s="293">
        <f>'[1]Mit-1'!C6</f>
        <v>0</v>
      </c>
      <c r="D6" s="294">
        <f>'[1]Mit-1'!D6</f>
        <v>0</v>
      </c>
      <c r="E6" s="293">
        <f>'[1]Mit-1'!E6</f>
        <v>0</v>
      </c>
      <c r="F6" s="290">
        <f>'[1]Mit-1'!F6</f>
        <v>0</v>
      </c>
      <c r="G6" s="294">
        <f>'[1]Mit-1'!G6</f>
        <v>0</v>
      </c>
      <c r="H6" s="294">
        <f>'[1]Mit-1'!H6</f>
        <v>0</v>
      </c>
      <c r="I6" s="295">
        <f>'[1]Mit-1'!I6</f>
        <v>0</v>
      </c>
      <c r="J6" s="295">
        <f>'[1]Mit-1'!J6</f>
        <v>0</v>
      </c>
      <c r="K6" s="295">
        <f>'[1]Mit-1'!K6</f>
        <v>0</v>
      </c>
      <c r="L6" s="296">
        <f>'[1]Mit-1'!L6</f>
        <v>0</v>
      </c>
      <c r="M6" s="296">
        <f>'[1]Mit-1'!M6</f>
        <v>0</v>
      </c>
      <c r="N6" s="296">
        <f>'[1]Mit-1'!N6</f>
        <v>0</v>
      </c>
      <c r="O6" s="295">
        <f>'[1]Mit-1'!O6</f>
        <v>0</v>
      </c>
      <c r="P6" s="297">
        <f>'[1]Mit-1'!P6</f>
        <v>0</v>
      </c>
      <c r="Q6" s="298">
        <f>'[1]Mit-1'!Q6</f>
        <v>0</v>
      </c>
      <c r="R6" s="298">
        <f>'[1]Mit-1'!R6</f>
        <v>0</v>
      </c>
      <c r="S6" s="298">
        <f>'[1]Mit-1'!S6</f>
        <v>0</v>
      </c>
      <c r="T6" s="297">
        <f>'[1]Mit-1'!U6</f>
        <v>0</v>
      </c>
      <c r="U6" s="297">
        <f>'[1]Mit-1'!V6</f>
        <v>0</v>
      </c>
      <c r="V6" s="297">
        <f>'[1]Mit-1'!W6</f>
        <v>0</v>
      </c>
      <c r="W6" s="297">
        <f>'[1]Mit-1'!X6</f>
        <v>0</v>
      </c>
      <c r="X6" s="297">
        <f>'[1]Mit-1'!Y6</f>
        <v>0</v>
      </c>
      <c r="Y6" s="297">
        <f>'[1]Mit-1'!Z6</f>
        <v>0</v>
      </c>
      <c r="Z6" s="297">
        <f>'[1]Mit-1'!AA6</f>
        <v>0</v>
      </c>
      <c r="AA6" s="297">
        <f>'[1]Mit-1'!AB6</f>
        <v>0</v>
      </c>
    </row>
    <row r="7" spans="1:27" s="196" customFormat="1" ht="13.15" customHeight="1" x14ac:dyDescent="0.15">
      <c r="A7" s="292">
        <f>'[1]Mit-1'!A7</f>
        <v>3</v>
      </c>
      <c r="B7" s="293">
        <f>'[1]Mit-1'!B7</f>
        <v>0</v>
      </c>
      <c r="C7" s="293">
        <f>'[1]Mit-1'!C7</f>
        <v>0</v>
      </c>
      <c r="D7" s="294">
        <f>'[1]Mit-1'!D7</f>
        <v>0</v>
      </c>
      <c r="E7" s="293">
        <f>'[1]Mit-1'!E7</f>
        <v>0</v>
      </c>
      <c r="F7" s="290">
        <f>'[1]Mit-1'!F7</f>
        <v>0</v>
      </c>
      <c r="G7" s="294">
        <f>'[1]Mit-1'!G7</f>
        <v>0</v>
      </c>
      <c r="H7" s="294">
        <f>'[1]Mit-1'!H7</f>
        <v>0</v>
      </c>
      <c r="I7" s="295">
        <f>'[1]Mit-1'!I7</f>
        <v>0</v>
      </c>
      <c r="J7" s="295">
        <f>'[1]Mit-1'!J7</f>
        <v>0</v>
      </c>
      <c r="K7" s="295">
        <f>'[1]Mit-1'!K7</f>
        <v>0</v>
      </c>
      <c r="L7" s="296">
        <f>'[1]Mit-1'!L7</f>
        <v>0</v>
      </c>
      <c r="M7" s="296">
        <f>'[1]Mit-1'!M7</f>
        <v>0</v>
      </c>
      <c r="N7" s="296">
        <f>'[1]Mit-1'!N7</f>
        <v>0</v>
      </c>
      <c r="O7" s="295">
        <f>'[1]Mit-1'!O7</f>
        <v>0</v>
      </c>
      <c r="P7" s="297">
        <f>'[1]Mit-1'!P7</f>
        <v>0</v>
      </c>
      <c r="Q7" s="298">
        <f>'[1]Mit-1'!Q7</f>
        <v>0</v>
      </c>
      <c r="R7" s="298">
        <f>'[1]Mit-1'!R7</f>
        <v>0</v>
      </c>
      <c r="S7" s="298">
        <f>'[1]Mit-1'!S7</f>
        <v>0</v>
      </c>
      <c r="T7" s="297">
        <f>'[1]Mit-1'!U7</f>
        <v>0</v>
      </c>
      <c r="U7" s="297">
        <f>'[1]Mit-1'!V7</f>
        <v>0</v>
      </c>
      <c r="V7" s="297">
        <f>'[1]Mit-1'!W7</f>
        <v>0</v>
      </c>
      <c r="W7" s="297">
        <f>'[1]Mit-1'!X7</f>
        <v>2</v>
      </c>
      <c r="X7" s="297">
        <f>'[1]Mit-1'!Y7</f>
        <v>0</v>
      </c>
      <c r="Y7" s="297">
        <f>'[1]Mit-1'!Z7</f>
        <v>0</v>
      </c>
      <c r="Z7" s="297">
        <f>'[1]Mit-1'!AA7</f>
        <v>0</v>
      </c>
      <c r="AA7" s="297">
        <f>'[1]Mit-1'!AB7</f>
        <v>0</v>
      </c>
    </row>
    <row r="8" spans="1:27" s="196" customFormat="1" ht="13.15" customHeight="1" x14ac:dyDescent="0.15">
      <c r="A8" s="292">
        <f>'[1]Mit-1'!A8</f>
        <v>4</v>
      </c>
      <c r="B8" s="293">
        <f>'[1]Mit-1'!B8</f>
        <v>0</v>
      </c>
      <c r="C8" s="293">
        <f>'[1]Mit-1'!C8</f>
        <v>0</v>
      </c>
      <c r="D8" s="294">
        <f>'[1]Mit-1'!D8</f>
        <v>0</v>
      </c>
      <c r="E8" s="293">
        <f>'[1]Mit-1'!E8</f>
        <v>0</v>
      </c>
      <c r="F8" s="290">
        <f>'[1]Mit-1'!F8</f>
        <v>0</v>
      </c>
      <c r="G8" s="294">
        <f>'[1]Mit-1'!G8</f>
        <v>0</v>
      </c>
      <c r="H8" s="294">
        <f>'[1]Mit-1'!H8</f>
        <v>0</v>
      </c>
      <c r="I8" s="295">
        <f>'[1]Mit-1'!I8</f>
        <v>0</v>
      </c>
      <c r="J8" s="295">
        <f>'[1]Mit-1'!J8</f>
        <v>0</v>
      </c>
      <c r="K8" s="295">
        <f>'[1]Mit-1'!K8</f>
        <v>0</v>
      </c>
      <c r="L8" s="296">
        <f>'[1]Mit-1'!L8</f>
        <v>0</v>
      </c>
      <c r="M8" s="296">
        <f>'[1]Mit-1'!M8</f>
        <v>0</v>
      </c>
      <c r="N8" s="296">
        <f>'[1]Mit-1'!N8</f>
        <v>0</v>
      </c>
      <c r="O8" s="295">
        <f>'[1]Mit-1'!O8</f>
        <v>0</v>
      </c>
      <c r="P8" s="297">
        <f>'[1]Mit-1'!P8</f>
        <v>0</v>
      </c>
      <c r="Q8" s="298">
        <f>'[1]Mit-1'!Q8</f>
        <v>0</v>
      </c>
      <c r="R8" s="298">
        <f>'[1]Mit-1'!R8</f>
        <v>0</v>
      </c>
      <c r="S8" s="298">
        <f>'[1]Mit-1'!S8</f>
        <v>0</v>
      </c>
      <c r="T8" s="297">
        <f>'[1]Mit-1'!U8</f>
        <v>0</v>
      </c>
      <c r="U8" s="297">
        <f>'[1]Mit-1'!V8</f>
        <v>0</v>
      </c>
      <c r="V8" s="297">
        <f>'[1]Mit-1'!W8</f>
        <v>0</v>
      </c>
      <c r="W8" s="297">
        <f>'[1]Mit-1'!X8</f>
        <v>0</v>
      </c>
      <c r="X8" s="297">
        <f>'[1]Mit-1'!Y8</f>
        <v>0</v>
      </c>
      <c r="Y8" s="297">
        <f>'[1]Mit-1'!Z8</f>
        <v>0</v>
      </c>
      <c r="Z8" s="297">
        <f>'[1]Mit-1'!AA8</f>
        <v>0</v>
      </c>
      <c r="AA8" s="297">
        <f>'[1]Mit-1'!AB8</f>
        <v>0</v>
      </c>
    </row>
    <row r="9" spans="1:27" s="196" customFormat="1" ht="13.15" customHeight="1" x14ac:dyDescent="0.15">
      <c r="A9" s="292">
        <f>'[1]Mit-1'!A9</f>
        <v>5</v>
      </c>
      <c r="B9" s="293">
        <f>'[1]Mit-1'!B9</f>
        <v>0</v>
      </c>
      <c r="C9" s="293">
        <f>'[1]Mit-1'!C9</f>
        <v>0</v>
      </c>
      <c r="D9" s="294">
        <f>'[1]Mit-1'!D9</f>
        <v>0</v>
      </c>
      <c r="E9" s="293">
        <f>'[1]Mit-1'!E9</f>
        <v>0</v>
      </c>
      <c r="F9" s="290">
        <f>'[1]Mit-1'!F9</f>
        <v>0</v>
      </c>
      <c r="G9" s="294">
        <f>'[1]Mit-1'!G9</f>
        <v>0</v>
      </c>
      <c r="H9" s="294">
        <f>'[1]Mit-1'!H9</f>
        <v>0</v>
      </c>
      <c r="I9" s="295">
        <f>'[1]Mit-1'!I9</f>
        <v>0</v>
      </c>
      <c r="J9" s="295">
        <f>'[1]Mit-1'!J9</f>
        <v>0</v>
      </c>
      <c r="K9" s="295">
        <f>'[1]Mit-1'!K9</f>
        <v>0</v>
      </c>
      <c r="L9" s="296">
        <f>'[1]Mit-1'!L9</f>
        <v>0</v>
      </c>
      <c r="M9" s="296">
        <f>'[1]Mit-1'!M9</f>
        <v>0</v>
      </c>
      <c r="N9" s="296">
        <f>'[1]Mit-1'!N9</f>
        <v>0</v>
      </c>
      <c r="O9" s="295">
        <f>'[1]Mit-1'!O9</f>
        <v>0</v>
      </c>
      <c r="P9" s="297">
        <f>'[1]Mit-1'!P9</f>
        <v>0</v>
      </c>
      <c r="Q9" s="298">
        <f>'[1]Mit-1'!Q9</f>
        <v>0</v>
      </c>
      <c r="R9" s="298">
        <f>'[1]Mit-1'!R9</f>
        <v>0</v>
      </c>
      <c r="S9" s="298">
        <f>'[1]Mit-1'!S9</f>
        <v>0</v>
      </c>
      <c r="T9" s="297">
        <f>'[1]Mit-1'!U9</f>
        <v>0</v>
      </c>
      <c r="U9" s="297">
        <f>'[1]Mit-1'!V9</f>
        <v>0</v>
      </c>
      <c r="V9" s="297">
        <f>'[1]Mit-1'!W9</f>
        <v>0</v>
      </c>
      <c r="W9" s="297">
        <f>'[1]Mit-1'!X9</f>
        <v>0</v>
      </c>
      <c r="X9" s="297">
        <f>'[1]Mit-1'!Y9</f>
        <v>0</v>
      </c>
      <c r="Y9" s="297">
        <f>'[1]Mit-1'!Z9</f>
        <v>0</v>
      </c>
      <c r="Z9" s="297">
        <f>'[1]Mit-1'!AA9</f>
        <v>0</v>
      </c>
      <c r="AA9" s="297">
        <f>'[1]Mit-1'!AB9</f>
        <v>0</v>
      </c>
    </row>
    <row r="10" spans="1:27" s="196" customFormat="1" ht="13.15" customHeight="1" x14ac:dyDescent="0.15">
      <c r="A10" s="292">
        <f>'[1]Mit-1'!A10</f>
        <v>6</v>
      </c>
      <c r="B10" s="293">
        <f>'[1]Mit-1'!B10</f>
        <v>0</v>
      </c>
      <c r="C10" s="293">
        <f>'[1]Mit-1'!C10</f>
        <v>0</v>
      </c>
      <c r="D10" s="294">
        <f>'[1]Mit-1'!D10</f>
        <v>0</v>
      </c>
      <c r="E10" s="293">
        <f>'[1]Mit-1'!E10</f>
        <v>0</v>
      </c>
      <c r="F10" s="290">
        <f>'[1]Mit-1'!F10</f>
        <v>0</v>
      </c>
      <c r="G10" s="294">
        <f>'[1]Mit-1'!G10</f>
        <v>0</v>
      </c>
      <c r="H10" s="294">
        <f>'[1]Mit-1'!H10</f>
        <v>0</v>
      </c>
      <c r="I10" s="295">
        <f>'[1]Mit-1'!I10</f>
        <v>0</v>
      </c>
      <c r="J10" s="295">
        <f>'[1]Mit-1'!J10</f>
        <v>0</v>
      </c>
      <c r="K10" s="295">
        <f>'[1]Mit-1'!K10</f>
        <v>0</v>
      </c>
      <c r="L10" s="296">
        <f>'[1]Mit-1'!L10</f>
        <v>0</v>
      </c>
      <c r="M10" s="296">
        <f>'[1]Mit-1'!M10</f>
        <v>0</v>
      </c>
      <c r="N10" s="296">
        <f>'[1]Mit-1'!N10</f>
        <v>0</v>
      </c>
      <c r="O10" s="295">
        <f>'[1]Mit-1'!O10</f>
        <v>0</v>
      </c>
      <c r="P10" s="297">
        <f>'[1]Mit-1'!P10</f>
        <v>0</v>
      </c>
      <c r="Q10" s="298">
        <f>'[1]Mit-1'!Q10</f>
        <v>0</v>
      </c>
      <c r="R10" s="298">
        <f>'[1]Mit-1'!R10</f>
        <v>0</v>
      </c>
      <c r="S10" s="298">
        <f>'[1]Mit-1'!S10</f>
        <v>0</v>
      </c>
      <c r="T10" s="297">
        <f>'[1]Mit-1'!U10</f>
        <v>0</v>
      </c>
      <c r="U10" s="297">
        <f>'[1]Mit-1'!V10</f>
        <v>0</v>
      </c>
      <c r="V10" s="297">
        <f>'[1]Mit-1'!W10</f>
        <v>0</v>
      </c>
      <c r="W10" s="297">
        <f>'[1]Mit-1'!X10</f>
        <v>0</v>
      </c>
      <c r="X10" s="297">
        <f>'[1]Mit-1'!Y10</f>
        <v>0</v>
      </c>
      <c r="Y10" s="297">
        <f>'[1]Mit-1'!Z10</f>
        <v>0</v>
      </c>
      <c r="Z10" s="297">
        <f>'[1]Mit-1'!AA10</f>
        <v>0</v>
      </c>
      <c r="AA10" s="297">
        <f>'[1]Mit-1'!AB10</f>
        <v>0</v>
      </c>
    </row>
    <row r="11" spans="1:27" s="196" customFormat="1" ht="13.15" customHeight="1" x14ac:dyDescent="0.15">
      <c r="A11" s="292">
        <f>'[1]Mit-1'!A11</f>
        <v>7</v>
      </c>
      <c r="B11" s="293">
        <f>'[1]Mit-1'!B11</f>
        <v>0</v>
      </c>
      <c r="C11" s="293">
        <f>'[1]Mit-1'!C11</f>
        <v>0</v>
      </c>
      <c r="D11" s="294">
        <f>'[1]Mit-1'!D11</f>
        <v>0</v>
      </c>
      <c r="E11" s="293">
        <f>'[1]Mit-1'!E11</f>
        <v>0</v>
      </c>
      <c r="F11" s="290">
        <f>'[1]Mit-1'!F11</f>
        <v>0</v>
      </c>
      <c r="G11" s="294">
        <f>'[1]Mit-1'!G11</f>
        <v>0</v>
      </c>
      <c r="H11" s="294">
        <f>'[1]Mit-1'!H11</f>
        <v>0</v>
      </c>
      <c r="I11" s="295">
        <f>'[1]Mit-1'!I11</f>
        <v>0</v>
      </c>
      <c r="J11" s="295">
        <f>'[1]Mit-1'!J11</f>
        <v>0</v>
      </c>
      <c r="K11" s="295">
        <f>'[1]Mit-1'!K11</f>
        <v>0</v>
      </c>
      <c r="L11" s="296">
        <f>'[1]Mit-1'!L11</f>
        <v>0</v>
      </c>
      <c r="M11" s="296">
        <f>'[1]Mit-1'!M11</f>
        <v>0</v>
      </c>
      <c r="N11" s="296">
        <f>'[1]Mit-1'!N11</f>
        <v>0</v>
      </c>
      <c r="O11" s="295">
        <f>'[1]Mit-1'!O11</f>
        <v>0</v>
      </c>
      <c r="P11" s="297">
        <f>'[1]Mit-1'!P11</f>
        <v>0</v>
      </c>
      <c r="Q11" s="298">
        <f>'[1]Mit-1'!Q11</f>
        <v>0</v>
      </c>
      <c r="R11" s="298">
        <f>'[1]Mit-1'!R11</f>
        <v>0</v>
      </c>
      <c r="S11" s="298">
        <f>'[1]Mit-1'!S11</f>
        <v>0</v>
      </c>
      <c r="T11" s="297">
        <f>'[1]Mit-1'!U11</f>
        <v>0</v>
      </c>
      <c r="U11" s="297">
        <f>'[1]Mit-1'!V11</f>
        <v>0</v>
      </c>
      <c r="V11" s="297">
        <f>'[1]Mit-1'!W11</f>
        <v>0</v>
      </c>
      <c r="W11" s="297">
        <f>'[1]Mit-1'!X11</f>
        <v>0</v>
      </c>
      <c r="X11" s="297">
        <f>'[1]Mit-1'!Y11</f>
        <v>0</v>
      </c>
      <c r="Y11" s="297">
        <f>'[1]Mit-1'!Z11</f>
        <v>0</v>
      </c>
      <c r="Z11" s="297">
        <f>'[1]Mit-1'!AA11</f>
        <v>0</v>
      </c>
      <c r="AA11" s="297">
        <f>'[1]Mit-1'!AB11</f>
        <v>0</v>
      </c>
    </row>
    <row r="12" spans="1:27" s="196" customFormat="1" ht="13.15" customHeight="1" x14ac:dyDescent="0.15">
      <c r="A12" s="292">
        <f>'[1]Mit-1'!A12</f>
        <v>8</v>
      </c>
      <c r="B12" s="293">
        <f>'[1]Mit-1'!B12</f>
        <v>0</v>
      </c>
      <c r="C12" s="293">
        <f>'[1]Mit-1'!C12</f>
        <v>0</v>
      </c>
      <c r="D12" s="294">
        <f>'[1]Mit-1'!D12</f>
        <v>0</v>
      </c>
      <c r="E12" s="293">
        <f>'[1]Mit-1'!E12</f>
        <v>0</v>
      </c>
      <c r="F12" s="290">
        <f>'[1]Mit-1'!F12</f>
        <v>0</v>
      </c>
      <c r="G12" s="294">
        <f>'[1]Mit-1'!G12</f>
        <v>0</v>
      </c>
      <c r="H12" s="294">
        <f>'[1]Mit-1'!H12</f>
        <v>0</v>
      </c>
      <c r="I12" s="295">
        <f>'[1]Mit-1'!I12</f>
        <v>0</v>
      </c>
      <c r="J12" s="295">
        <f>'[1]Mit-1'!J12</f>
        <v>0</v>
      </c>
      <c r="K12" s="295">
        <f>'[1]Mit-1'!K12</f>
        <v>0</v>
      </c>
      <c r="L12" s="296">
        <f>'[1]Mit-1'!L12</f>
        <v>0</v>
      </c>
      <c r="M12" s="296">
        <f>'[1]Mit-1'!M12</f>
        <v>0</v>
      </c>
      <c r="N12" s="296">
        <f>'[1]Mit-1'!N12</f>
        <v>0</v>
      </c>
      <c r="O12" s="295">
        <f>'[1]Mit-1'!O12</f>
        <v>0</v>
      </c>
      <c r="P12" s="297">
        <f>'[1]Mit-1'!P12</f>
        <v>0</v>
      </c>
      <c r="Q12" s="298">
        <f>'[1]Mit-1'!Q12</f>
        <v>0</v>
      </c>
      <c r="R12" s="298">
        <f>'[1]Mit-1'!R12</f>
        <v>0</v>
      </c>
      <c r="S12" s="298">
        <f>'[1]Mit-1'!S12</f>
        <v>0</v>
      </c>
      <c r="T12" s="297">
        <f>'[1]Mit-1'!U12</f>
        <v>0</v>
      </c>
      <c r="U12" s="297">
        <f>'[1]Mit-1'!V12</f>
        <v>0</v>
      </c>
      <c r="V12" s="297">
        <f>'[1]Mit-1'!W12</f>
        <v>0</v>
      </c>
      <c r="W12" s="297">
        <f>'[1]Mit-1'!X12</f>
        <v>0</v>
      </c>
      <c r="X12" s="297">
        <f>'[1]Mit-1'!Y12</f>
        <v>0</v>
      </c>
      <c r="Y12" s="297">
        <f>'[1]Mit-1'!Z12</f>
        <v>0</v>
      </c>
      <c r="Z12" s="297">
        <f>'[1]Mit-1'!AA12</f>
        <v>0</v>
      </c>
      <c r="AA12" s="297">
        <f>'[1]Mit-1'!AB12</f>
        <v>0</v>
      </c>
    </row>
    <row r="13" spans="1:27" s="196" customFormat="1" ht="13.15" customHeight="1" x14ac:dyDescent="0.15">
      <c r="A13" s="292">
        <f>'[1]Mit-1'!A13</f>
        <v>9</v>
      </c>
      <c r="B13" s="293">
        <f>'[1]Mit-1'!B13</f>
        <v>0</v>
      </c>
      <c r="C13" s="293">
        <f>'[1]Mit-1'!C13</f>
        <v>0</v>
      </c>
      <c r="D13" s="294">
        <f>'[1]Mit-1'!D13</f>
        <v>0</v>
      </c>
      <c r="E13" s="293">
        <f>'[1]Mit-1'!E13</f>
        <v>0</v>
      </c>
      <c r="F13" s="290">
        <f>'[1]Mit-1'!F13</f>
        <v>0</v>
      </c>
      <c r="G13" s="294">
        <f>'[1]Mit-1'!G13</f>
        <v>0</v>
      </c>
      <c r="H13" s="294">
        <f>'[1]Mit-1'!H13</f>
        <v>0</v>
      </c>
      <c r="I13" s="295">
        <f>'[1]Mit-1'!I13</f>
        <v>0</v>
      </c>
      <c r="J13" s="295">
        <f>'[1]Mit-1'!J13</f>
        <v>0</v>
      </c>
      <c r="K13" s="295">
        <f>'[1]Mit-1'!K13</f>
        <v>0</v>
      </c>
      <c r="L13" s="296">
        <f>'[1]Mit-1'!L13</f>
        <v>0</v>
      </c>
      <c r="M13" s="296">
        <f>'[1]Mit-1'!M13</f>
        <v>0</v>
      </c>
      <c r="N13" s="296">
        <f>'[1]Mit-1'!N13</f>
        <v>0</v>
      </c>
      <c r="O13" s="295">
        <f>'[1]Mit-1'!O13</f>
        <v>0</v>
      </c>
      <c r="P13" s="297">
        <f>'[1]Mit-1'!P13</f>
        <v>0</v>
      </c>
      <c r="Q13" s="298">
        <f>'[1]Mit-1'!Q13</f>
        <v>0</v>
      </c>
      <c r="R13" s="298">
        <f>'[1]Mit-1'!R13</f>
        <v>0</v>
      </c>
      <c r="S13" s="298">
        <f>'[1]Mit-1'!S13</f>
        <v>0</v>
      </c>
      <c r="T13" s="297">
        <f>'[1]Mit-1'!U13</f>
        <v>0</v>
      </c>
      <c r="U13" s="297">
        <f>'[1]Mit-1'!V13</f>
        <v>0</v>
      </c>
      <c r="V13" s="297">
        <f>'[1]Mit-1'!W13</f>
        <v>0</v>
      </c>
      <c r="W13" s="297">
        <f>'[1]Mit-1'!X13</f>
        <v>0</v>
      </c>
      <c r="X13" s="297">
        <f>'[1]Mit-1'!Y13</f>
        <v>0</v>
      </c>
      <c r="Y13" s="297">
        <f>'[1]Mit-1'!Z13</f>
        <v>0</v>
      </c>
      <c r="Z13" s="297">
        <f>'[1]Mit-1'!AA13</f>
        <v>0</v>
      </c>
      <c r="AA13" s="297">
        <f>'[1]Mit-1'!AB13</f>
        <v>0</v>
      </c>
    </row>
    <row r="14" spans="1:27" s="196" customFormat="1" ht="13.15" customHeight="1" x14ac:dyDescent="0.15">
      <c r="A14" s="292">
        <f>'[1]Mit-1'!A14</f>
        <v>10</v>
      </c>
      <c r="B14" s="293">
        <f>'[1]Mit-1'!B14</f>
        <v>0</v>
      </c>
      <c r="C14" s="293">
        <f>'[1]Mit-1'!C14</f>
        <v>0</v>
      </c>
      <c r="D14" s="294">
        <f>'[1]Mit-1'!D14</f>
        <v>0</v>
      </c>
      <c r="E14" s="293">
        <f>'[1]Mit-1'!E14</f>
        <v>0</v>
      </c>
      <c r="F14" s="290">
        <f>'[1]Mit-1'!F14</f>
        <v>0</v>
      </c>
      <c r="G14" s="294">
        <f>'[1]Mit-1'!G14</f>
        <v>0</v>
      </c>
      <c r="H14" s="294">
        <f>'[1]Mit-1'!H14</f>
        <v>0</v>
      </c>
      <c r="I14" s="295">
        <f>'[1]Mit-1'!I14</f>
        <v>0</v>
      </c>
      <c r="J14" s="295">
        <f>'[1]Mit-1'!J14</f>
        <v>0</v>
      </c>
      <c r="K14" s="295">
        <f>'[1]Mit-1'!K14</f>
        <v>0</v>
      </c>
      <c r="L14" s="296">
        <f>'[1]Mit-1'!L14</f>
        <v>0</v>
      </c>
      <c r="M14" s="296">
        <f>'[1]Mit-1'!M14</f>
        <v>0</v>
      </c>
      <c r="N14" s="296">
        <f>'[1]Mit-1'!N14</f>
        <v>0</v>
      </c>
      <c r="O14" s="295">
        <f>'[1]Mit-1'!O14</f>
        <v>0</v>
      </c>
      <c r="P14" s="297">
        <f>'[1]Mit-1'!P14</f>
        <v>0</v>
      </c>
      <c r="Q14" s="298">
        <f>'[1]Mit-1'!Q14</f>
        <v>0</v>
      </c>
      <c r="R14" s="298">
        <f>'[1]Mit-1'!R14</f>
        <v>0</v>
      </c>
      <c r="S14" s="298">
        <f>'[1]Mit-1'!S14</f>
        <v>0</v>
      </c>
      <c r="T14" s="297">
        <f>'[1]Mit-1'!U14</f>
        <v>0</v>
      </c>
      <c r="U14" s="297">
        <f>'[1]Mit-1'!V14</f>
        <v>0</v>
      </c>
      <c r="V14" s="297">
        <f>'[1]Mit-1'!W14</f>
        <v>0</v>
      </c>
      <c r="W14" s="297">
        <f>'[1]Mit-1'!X14</f>
        <v>0</v>
      </c>
      <c r="X14" s="297">
        <f>'[1]Mit-1'!Y14</f>
        <v>0</v>
      </c>
      <c r="Y14" s="297">
        <f>'[1]Mit-1'!Z14</f>
        <v>0</v>
      </c>
      <c r="Z14" s="297">
        <f>'[1]Mit-1'!AA14</f>
        <v>0</v>
      </c>
      <c r="AA14" s="297">
        <f>'[1]Mit-1'!AB14</f>
        <v>0</v>
      </c>
    </row>
    <row r="15" spans="1:27" s="196" customFormat="1" ht="13.15" customHeight="1" x14ac:dyDescent="0.15">
      <c r="A15" s="292">
        <f>'[1]Mit-1'!A15</f>
        <v>11</v>
      </c>
      <c r="B15" s="293">
        <f>'[1]Mit-1'!B15</f>
        <v>0</v>
      </c>
      <c r="C15" s="293">
        <f>'[1]Mit-1'!C15</f>
        <v>0</v>
      </c>
      <c r="D15" s="294">
        <f>'[1]Mit-1'!D15</f>
        <v>0</v>
      </c>
      <c r="E15" s="293">
        <f>'[1]Mit-1'!E15</f>
        <v>0</v>
      </c>
      <c r="F15" s="290">
        <f>'[1]Mit-1'!F15</f>
        <v>0</v>
      </c>
      <c r="G15" s="294">
        <f>'[1]Mit-1'!G15</f>
        <v>0</v>
      </c>
      <c r="H15" s="294">
        <f>'[1]Mit-1'!H15</f>
        <v>0</v>
      </c>
      <c r="I15" s="295">
        <f>'[1]Mit-1'!I15</f>
        <v>0</v>
      </c>
      <c r="J15" s="295">
        <f>'[1]Mit-1'!J15</f>
        <v>0</v>
      </c>
      <c r="K15" s="295">
        <f>'[1]Mit-1'!K15</f>
        <v>0</v>
      </c>
      <c r="L15" s="296">
        <f>'[1]Mit-1'!L15</f>
        <v>0</v>
      </c>
      <c r="M15" s="296">
        <f>'[1]Mit-1'!M15</f>
        <v>0</v>
      </c>
      <c r="N15" s="296">
        <f>'[1]Mit-1'!N15</f>
        <v>0</v>
      </c>
      <c r="O15" s="295">
        <f>'[1]Mit-1'!O15</f>
        <v>0</v>
      </c>
      <c r="P15" s="297">
        <f>'[1]Mit-1'!P15</f>
        <v>0</v>
      </c>
      <c r="Q15" s="298">
        <f>'[1]Mit-1'!Q15</f>
        <v>0</v>
      </c>
      <c r="R15" s="298">
        <f>'[1]Mit-1'!R15</f>
        <v>0</v>
      </c>
      <c r="S15" s="298">
        <f>'[1]Mit-1'!S15</f>
        <v>0</v>
      </c>
      <c r="T15" s="297">
        <f>'[1]Mit-1'!U15</f>
        <v>0</v>
      </c>
      <c r="U15" s="297">
        <f>'[1]Mit-1'!V15</f>
        <v>0</v>
      </c>
      <c r="V15" s="297">
        <f>'[1]Mit-1'!W15</f>
        <v>0</v>
      </c>
      <c r="W15" s="297">
        <f>'[1]Mit-1'!X15</f>
        <v>0</v>
      </c>
      <c r="X15" s="297">
        <f>'[1]Mit-1'!Y15</f>
        <v>0</v>
      </c>
      <c r="Y15" s="297">
        <f>'[1]Mit-1'!Z15</f>
        <v>0</v>
      </c>
      <c r="Z15" s="297">
        <f>'[1]Mit-1'!AA15</f>
        <v>0</v>
      </c>
      <c r="AA15" s="297">
        <f>'[1]Mit-1'!AB15</f>
        <v>0</v>
      </c>
    </row>
    <row r="16" spans="1:27" s="196" customFormat="1" ht="13.15" customHeight="1" x14ac:dyDescent="0.15">
      <c r="A16" s="292">
        <f>'[1]Mit-1'!A16</f>
        <v>12</v>
      </c>
      <c r="B16" s="293">
        <f>'[1]Mit-1'!B16</f>
        <v>0</v>
      </c>
      <c r="C16" s="293">
        <f>'[1]Mit-1'!C16</f>
        <v>0</v>
      </c>
      <c r="D16" s="294">
        <f>'[1]Mit-1'!D16</f>
        <v>0</v>
      </c>
      <c r="E16" s="293">
        <f>'[1]Mit-1'!E16</f>
        <v>0</v>
      </c>
      <c r="F16" s="290">
        <f>'[1]Mit-1'!F16</f>
        <v>0</v>
      </c>
      <c r="G16" s="294">
        <f>'[1]Mit-1'!G16</f>
        <v>0</v>
      </c>
      <c r="H16" s="294">
        <f>'[1]Mit-1'!H16</f>
        <v>0</v>
      </c>
      <c r="I16" s="295">
        <f>'[1]Mit-1'!I16</f>
        <v>0</v>
      </c>
      <c r="J16" s="295">
        <f>'[1]Mit-1'!J16</f>
        <v>0</v>
      </c>
      <c r="K16" s="295">
        <f>'[1]Mit-1'!K16</f>
        <v>0</v>
      </c>
      <c r="L16" s="296">
        <f>'[1]Mit-1'!L16</f>
        <v>0</v>
      </c>
      <c r="M16" s="296">
        <f>'[1]Mit-1'!M16</f>
        <v>0</v>
      </c>
      <c r="N16" s="296">
        <f>'[1]Mit-1'!N16</f>
        <v>0</v>
      </c>
      <c r="O16" s="295">
        <f>'[1]Mit-1'!O16</f>
        <v>0</v>
      </c>
      <c r="P16" s="297">
        <f>'[1]Mit-1'!P16</f>
        <v>0</v>
      </c>
      <c r="Q16" s="298">
        <f>'[1]Mit-1'!Q16</f>
        <v>0</v>
      </c>
      <c r="R16" s="298">
        <f>'[1]Mit-1'!R16</f>
        <v>0</v>
      </c>
      <c r="S16" s="298">
        <f>'[1]Mit-1'!S16</f>
        <v>0</v>
      </c>
      <c r="T16" s="297">
        <f>'[1]Mit-1'!U16</f>
        <v>0</v>
      </c>
      <c r="U16" s="297">
        <f>'[1]Mit-1'!V16</f>
        <v>0</v>
      </c>
      <c r="V16" s="297">
        <f>'[1]Mit-1'!W16</f>
        <v>0</v>
      </c>
      <c r="W16" s="297">
        <f>'[1]Mit-1'!X16</f>
        <v>0</v>
      </c>
      <c r="X16" s="297">
        <f>'[1]Mit-1'!Y16</f>
        <v>0</v>
      </c>
      <c r="Y16" s="297">
        <f>'[1]Mit-1'!Z16</f>
        <v>0</v>
      </c>
      <c r="Z16" s="297">
        <f>'[1]Mit-1'!AA16</f>
        <v>0</v>
      </c>
      <c r="AA16" s="297">
        <f>'[1]Mit-1'!AB16</f>
        <v>0</v>
      </c>
    </row>
    <row r="17" spans="1:27" s="196" customFormat="1" ht="13.15" customHeight="1" x14ac:dyDescent="0.15">
      <c r="A17" s="292">
        <f>'[1]Mit-1'!A17</f>
        <v>13</v>
      </c>
      <c r="B17" s="293">
        <f>'[1]Mit-1'!B17</f>
        <v>0</v>
      </c>
      <c r="C17" s="293">
        <f>'[1]Mit-1'!C17</f>
        <v>0</v>
      </c>
      <c r="D17" s="294">
        <f>'[1]Mit-1'!D17</f>
        <v>0</v>
      </c>
      <c r="E17" s="293">
        <f>'[1]Mit-1'!E17</f>
        <v>0</v>
      </c>
      <c r="F17" s="290">
        <f>'[1]Mit-1'!F17</f>
        <v>0</v>
      </c>
      <c r="G17" s="294">
        <f>'[1]Mit-1'!G17</f>
        <v>0</v>
      </c>
      <c r="H17" s="294">
        <f>'[1]Mit-1'!H17</f>
        <v>0</v>
      </c>
      <c r="I17" s="295">
        <f>'[1]Mit-1'!I17</f>
        <v>0</v>
      </c>
      <c r="J17" s="295">
        <f>'[1]Mit-1'!J17</f>
        <v>0</v>
      </c>
      <c r="K17" s="295">
        <f>'[1]Mit-1'!K17</f>
        <v>0</v>
      </c>
      <c r="L17" s="296">
        <f>'[1]Mit-1'!L17</f>
        <v>0</v>
      </c>
      <c r="M17" s="296">
        <f>'[1]Mit-1'!M17</f>
        <v>0</v>
      </c>
      <c r="N17" s="296">
        <f>'[1]Mit-1'!N17</f>
        <v>0</v>
      </c>
      <c r="O17" s="295">
        <f>'[1]Mit-1'!O17</f>
        <v>0</v>
      </c>
      <c r="P17" s="297">
        <f>'[1]Mit-1'!P17</f>
        <v>0</v>
      </c>
      <c r="Q17" s="298">
        <f>'[1]Mit-1'!Q17</f>
        <v>0</v>
      </c>
      <c r="R17" s="298">
        <f>'[1]Mit-1'!R17</f>
        <v>0</v>
      </c>
      <c r="S17" s="298">
        <f>'[1]Mit-1'!S17</f>
        <v>0</v>
      </c>
      <c r="T17" s="297">
        <f>'[1]Mit-1'!U17</f>
        <v>0</v>
      </c>
      <c r="U17" s="297">
        <f>'[1]Mit-1'!V17</f>
        <v>0</v>
      </c>
      <c r="V17" s="297">
        <f>'[1]Mit-1'!W17</f>
        <v>0</v>
      </c>
      <c r="W17" s="297">
        <f>'[1]Mit-1'!X17</f>
        <v>0</v>
      </c>
      <c r="X17" s="297">
        <f>'[1]Mit-1'!Y17</f>
        <v>0</v>
      </c>
      <c r="Y17" s="297">
        <f>'[1]Mit-1'!Z17</f>
        <v>0</v>
      </c>
      <c r="Z17" s="297">
        <f>'[1]Mit-1'!AA17</f>
        <v>0</v>
      </c>
      <c r="AA17" s="297">
        <f>'[1]Mit-1'!AB17</f>
        <v>0</v>
      </c>
    </row>
    <row r="18" spans="1:27" s="196" customFormat="1" ht="13.15" customHeight="1" x14ac:dyDescent="0.15">
      <c r="A18" s="292">
        <f>'[1]Mit-1'!A18</f>
        <v>14</v>
      </c>
      <c r="B18" s="293">
        <f>'[1]Mit-1'!B18</f>
        <v>0</v>
      </c>
      <c r="C18" s="293">
        <f>'[1]Mit-1'!C18</f>
        <v>0</v>
      </c>
      <c r="D18" s="294">
        <f>'[1]Mit-1'!D18</f>
        <v>0</v>
      </c>
      <c r="E18" s="293">
        <f>'[1]Mit-1'!E18</f>
        <v>0</v>
      </c>
      <c r="F18" s="290">
        <f>'[1]Mit-1'!F18</f>
        <v>0</v>
      </c>
      <c r="G18" s="294">
        <f>'[1]Mit-1'!G18</f>
        <v>0</v>
      </c>
      <c r="H18" s="294">
        <f>'[1]Mit-1'!H18</f>
        <v>0</v>
      </c>
      <c r="I18" s="295">
        <f>'[1]Mit-1'!I18</f>
        <v>0</v>
      </c>
      <c r="J18" s="295">
        <f>'[1]Mit-1'!J18</f>
        <v>0</v>
      </c>
      <c r="K18" s="295">
        <f>'[1]Mit-1'!K18</f>
        <v>0</v>
      </c>
      <c r="L18" s="296">
        <f>'[1]Mit-1'!L18</f>
        <v>0</v>
      </c>
      <c r="M18" s="296">
        <f>'[1]Mit-1'!M18</f>
        <v>0</v>
      </c>
      <c r="N18" s="296">
        <f>'[1]Mit-1'!N18</f>
        <v>0</v>
      </c>
      <c r="O18" s="295">
        <f>'[1]Mit-1'!O18</f>
        <v>0</v>
      </c>
      <c r="P18" s="297">
        <f>'[1]Mit-1'!P18</f>
        <v>0</v>
      </c>
      <c r="Q18" s="298">
        <f>'[1]Mit-1'!Q18</f>
        <v>0</v>
      </c>
      <c r="R18" s="298">
        <f>'[1]Mit-1'!R18</f>
        <v>0</v>
      </c>
      <c r="S18" s="298">
        <f>'[1]Mit-1'!S18</f>
        <v>0</v>
      </c>
      <c r="T18" s="297">
        <f>'[1]Mit-1'!U18</f>
        <v>0</v>
      </c>
      <c r="U18" s="297">
        <f>'[1]Mit-1'!V18</f>
        <v>0</v>
      </c>
      <c r="V18" s="297">
        <f>'[1]Mit-1'!W18</f>
        <v>0</v>
      </c>
      <c r="W18" s="297">
        <f>'[1]Mit-1'!X18</f>
        <v>0</v>
      </c>
      <c r="X18" s="297">
        <f>'[1]Mit-1'!Y18</f>
        <v>0</v>
      </c>
      <c r="Y18" s="297">
        <f>'[1]Mit-1'!Z18</f>
        <v>0</v>
      </c>
      <c r="Z18" s="297">
        <f>'[1]Mit-1'!AA18</f>
        <v>0</v>
      </c>
      <c r="AA18" s="297">
        <f>'[1]Mit-1'!AB18</f>
        <v>0</v>
      </c>
    </row>
    <row r="19" spans="1:27" s="196" customFormat="1" ht="13.15" customHeight="1" x14ac:dyDescent="0.15">
      <c r="A19" s="292">
        <f>'[1]Mit-1'!A19</f>
        <v>15</v>
      </c>
      <c r="B19" s="293">
        <f>'[1]Mit-1'!B19</f>
        <v>0</v>
      </c>
      <c r="C19" s="293">
        <f>'[1]Mit-1'!C19</f>
        <v>0</v>
      </c>
      <c r="D19" s="294">
        <f>'[1]Mit-1'!D19</f>
        <v>0</v>
      </c>
      <c r="E19" s="293">
        <f>'[1]Mit-1'!E19</f>
        <v>0</v>
      </c>
      <c r="F19" s="290">
        <f>'[1]Mit-1'!F19</f>
        <v>0</v>
      </c>
      <c r="G19" s="294">
        <f>'[1]Mit-1'!G19</f>
        <v>0</v>
      </c>
      <c r="H19" s="294">
        <f>'[1]Mit-1'!H19</f>
        <v>0</v>
      </c>
      <c r="I19" s="294">
        <f>'[1]Mit-1'!I19</f>
        <v>0</v>
      </c>
      <c r="J19" s="294">
        <f>'[1]Mit-1'!J19</f>
        <v>0</v>
      </c>
      <c r="K19" s="294">
        <f>'[1]Mit-1'!K19</f>
        <v>0</v>
      </c>
      <c r="L19" s="294">
        <f>'[1]Mit-1'!L19</f>
        <v>0</v>
      </c>
      <c r="M19" s="296">
        <f>'[1]Mit-1'!M19</f>
        <v>0</v>
      </c>
      <c r="N19" s="296">
        <f>'[1]Mit-1'!N19</f>
        <v>0</v>
      </c>
      <c r="O19" s="294">
        <f>'[1]Mit-1'!O19</f>
        <v>0</v>
      </c>
      <c r="P19" s="297">
        <f>'[1]Mit-1'!P19</f>
        <v>0</v>
      </c>
      <c r="Q19" s="298">
        <f>'[1]Mit-1'!Q19</f>
        <v>0</v>
      </c>
      <c r="R19" s="298">
        <f>'[1]Mit-1'!R19</f>
        <v>0</v>
      </c>
      <c r="S19" s="298">
        <f>'[1]Mit-1'!S19</f>
        <v>0</v>
      </c>
      <c r="T19" s="299">
        <f>'[1]Mit-1'!U19</f>
        <v>0</v>
      </c>
      <c r="U19" s="297">
        <f>'[1]Mit-1'!V19</f>
        <v>0</v>
      </c>
      <c r="V19" s="297">
        <f>'[1]Mit-1'!W19</f>
        <v>0</v>
      </c>
      <c r="W19" s="297">
        <f>'[1]Mit-1'!X19</f>
        <v>0</v>
      </c>
      <c r="X19" s="297">
        <f>'[1]Mit-1'!Y19</f>
        <v>0</v>
      </c>
      <c r="Y19" s="297">
        <f>'[1]Mit-1'!Z19</f>
        <v>0</v>
      </c>
      <c r="Z19" s="297">
        <f>'[1]Mit-1'!AA19</f>
        <v>0</v>
      </c>
      <c r="AA19" s="297">
        <f>'[1]Mit-1'!AB19</f>
        <v>0</v>
      </c>
    </row>
  </sheetData>
  <sheetProtection sheet="1" objects="1" scenarios="1"/>
  <mergeCells count="22">
    <mergeCell ref="AA3:AA4"/>
    <mergeCell ref="V3:Z3"/>
    <mergeCell ref="T3:T4"/>
    <mergeCell ref="P3:P4"/>
    <mergeCell ref="Q3:Q4"/>
    <mergeCell ref="R3:R4"/>
    <mergeCell ref="S3:S4"/>
    <mergeCell ref="M3:M4"/>
    <mergeCell ref="N3:N4"/>
    <mergeCell ref="O3:O4"/>
    <mergeCell ref="I3:I4"/>
    <mergeCell ref="J3:J4"/>
    <mergeCell ref="K3:K4"/>
    <mergeCell ref="L3:L4"/>
    <mergeCell ref="G3:G4"/>
    <mergeCell ref="H3:H4"/>
    <mergeCell ref="A3:A4"/>
    <mergeCell ref="B3:B4"/>
    <mergeCell ref="C3:C4"/>
    <mergeCell ref="D3:D4"/>
    <mergeCell ref="E3:E4"/>
    <mergeCell ref="F3:F4"/>
  </mergeCells>
  <phoneticPr fontId="2" type="noConversion"/>
  <pageMargins left="0.78740157499999996" right="0.78740157499999996" top="0.984251969" bottom="0.984251969" header="0.4921259845" footer="0.492125984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/>
  <dimension ref="A1:Z161"/>
  <sheetViews>
    <sheetView showGridLines="0" showZeros="0" zoomScaleNormal="100" workbookViewId="0"/>
  </sheetViews>
  <sheetFormatPr baseColWidth="10" defaultColWidth="11.5703125" defaultRowHeight="12.75" x14ac:dyDescent="0.2"/>
  <cols>
    <col min="1" max="1" width="11.28515625" customWidth="1"/>
    <col min="2" max="2" width="11.7109375" customWidth="1"/>
    <col min="3" max="3" width="10.85546875" customWidth="1"/>
    <col min="4" max="4" width="11.28515625" customWidth="1"/>
    <col min="5" max="5" width="5.42578125" customWidth="1"/>
    <col min="6" max="6" width="6" customWidth="1"/>
    <col min="7" max="7" width="11.140625" customWidth="1"/>
    <col min="8" max="8" width="9.85546875" customWidth="1"/>
    <col min="9" max="9" width="9.140625" customWidth="1"/>
    <col min="10" max="10" width="2.5703125" style="277" customWidth="1"/>
    <col min="11" max="15" width="2.140625" customWidth="1"/>
    <col min="16" max="16" width="2.28515625" customWidth="1"/>
    <col min="17" max="17" width="11.28515625" customWidth="1"/>
    <col min="18" max="18" width="10.7109375" customWidth="1"/>
    <col min="19" max="19" width="9" bestFit="1" customWidth="1"/>
    <col min="20" max="20" width="11.28515625" bestFit="1" customWidth="1"/>
    <col min="21" max="21" width="8.5703125" bestFit="1" customWidth="1"/>
    <col min="22" max="22" width="9.5703125" customWidth="1"/>
    <col min="23" max="24" width="10.7109375" customWidth="1"/>
  </cols>
  <sheetData>
    <row r="1" spans="1:26" s="144" customFormat="1" ht="16.5" customHeight="1" x14ac:dyDescent="0.2">
      <c r="A1" s="316" t="s">
        <v>106</v>
      </c>
      <c r="B1" s="317"/>
      <c r="C1" s="317"/>
      <c r="D1" s="317"/>
      <c r="E1" s="317"/>
      <c r="F1" s="317"/>
      <c r="G1" s="317"/>
      <c r="H1" s="317"/>
      <c r="I1" s="318" t="s">
        <v>47</v>
      </c>
      <c r="J1" s="473">
        <f>[1]Firma!$A$11</f>
        <v>45323</v>
      </c>
      <c r="K1" s="473"/>
      <c r="L1" s="473"/>
      <c r="M1" s="473"/>
      <c r="N1" s="473"/>
      <c r="O1" s="474"/>
      <c r="P1" s="143"/>
      <c r="Q1" s="143"/>
      <c r="R1" s="143"/>
      <c r="S1" s="143"/>
      <c r="T1" s="143"/>
      <c r="U1" s="143"/>
      <c r="V1" s="143"/>
      <c r="W1" s="143"/>
      <c r="X1" s="143"/>
      <c r="Y1" s="143"/>
      <c r="Z1" s="143"/>
    </row>
    <row r="2" spans="1:26" s="124" customFormat="1" ht="12.75" customHeight="1" x14ac:dyDescent="0.2">
      <c r="A2" s="120" t="s">
        <v>107</v>
      </c>
      <c r="B2" s="121"/>
      <c r="C2" s="121"/>
      <c r="D2" s="122"/>
      <c r="E2" s="188" t="s">
        <v>132</v>
      </c>
      <c r="F2" s="202"/>
      <c r="G2" s="121"/>
      <c r="H2" s="121"/>
      <c r="I2" s="123"/>
      <c r="J2" s="302"/>
      <c r="K2" s="201"/>
      <c r="L2" s="201"/>
      <c r="M2" s="201"/>
      <c r="N2" s="200"/>
      <c r="O2" s="303"/>
      <c r="P2" s="121"/>
      <c r="Q2" s="121"/>
      <c r="R2" s="121"/>
      <c r="S2" s="121"/>
      <c r="T2" s="121"/>
      <c r="U2" s="121"/>
      <c r="V2" s="121"/>
      <c r="W2" s="121"/>
      <c r="X2" s="121"/>
      <c r="Y2" s="121"/>
      <c r="Z2" s="121"/>
    </row>
    <row r="3" spans="1:26" ht="16.899999999999999" customHeight="1" x14ac:dyDescent="0.2">
      <c r="A3" s="88" t="s">
        <v>100</v>
      </c>
      <c r="B3" s="83" t="str">
        <f>[1]Firma!$A$4</f>
        <v>Asues GmbH</v>
      </c>
      <c r="C3" s="1"/>
      <c r="D3" s="1"/>
      <c r="E3" s="555" t="s">
        <v>126</v>
      </c>
      <c r="F3" s="556"/>
      <c r="G3" s="72" t="str">
        <f>VLOOKUP(P3,'[1]Mit-1'!$A$5:$B$19,2,FALSE)</f>
        <v>AAAAA BBBBB</v>
      </c>
      <c r="H3" s="72"/>
      <c r="I3" s="85"/>
      <c r="J3" s="304"/>
      <c r="K3" s="72"/>
      <c r="L3" s="72"/>
      <c r="M3" s="72"/>
      <c r="N3" s="72"/>
      <c r="O3" s="134"/>
      <c r="P3" s="72">
        <v>1</v>
      </c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0.5" customHeight="1" x14ac:dyDescent="0.2">
      <c r="A4" s="87" t="s">
        <v>101</v>
      </c>
      <c r="B4" s="3" t="str">
        <f>[1]Firma!$B$4</f>
        <v>Josef-Ferrari-Straße 12; 39031 Bruneck (BZ)</v>
      </c>
      <c r="C4" s="3"/>
      <c r="D4" s="3"/>
      <c r="E4" s="187" t="s">
        <v>127</v>
      </c>
      <c r="G4" s="30" t="str">
        <f>VLOOKUP($P$3,'[1]Mit-1'!$A$5:$U$19,3,FALSE)</f>
        <v>Michael-Pacher-Straße 10, 39031 Bruneck</v>
      </c>
      <c r="I4" s="134"/>
      <c r="N4" s="1"/>
      <c r="O4" s="2"/>
      <c r="P4" s="1"/>
      <c r="V4" s="1"/>
      <c r="W4" s="1"/>
      <c r="X4" s="1"/>
      <c r="Y4" s="1"/>
      <c r="Z4" s="1"/>
    </row>
    <row r="5" spans="1:26" ht="16.899999999999999" customHeight="1" x14ac:dyDescent="0.2">
      <c r="A5" s="88" t="s">
        <v>102</v>
      </c>
      <c r="B5" s="288" t="str">
        <f>[1]Firma!$C$4</f>
        <v>IT09997110213</v>
      </c>
      <c r="C5" s="3"/>
      <c r="D5" s="3"/>
      <c r="E5" s="555" t="s">
        <v>103</v>
      </c>
      <c r="F5" s="556"/>
      <c r="G5" s="30" t="str">
        <f>VLOOKUP($P$3,'[1]Mit-1'!$A$5:$U$19,6,FALSE)</f>
        <v>AAABBB84B11B220G</v>
      </c>
      <c r="I5" s="2"/>
      <c r="K5" s="1"/>
      <c r="L5" s="1"/>
      <c r="M5" s="1"/>
      <c r="N5" s="1"/>
      <c r="O5" s="2"/>
      <c r="P5" s="1"/>
      <c r="Q5" s="546" t="s">
        <v>136</v>
      </c>
      <c r="R5" s="547"/>
      <c r="S5" s="548"/>
      <c r="T5" s="1"/>
      <c r="U5" s="1"/>
      <c r="V5" s="1"/>
      <c r="W5" s="1"/>
      <c r="X5" s="1"/>
      <c r="Y5" s="1"/>
      <c r="Z5" s="1"/>
    </row>
    <row r="6" spans="1:26" ht="16.899999999999999" customHeight="1" x14ac:dyDescent="0.2">
      <c r="A6" s="88" t="s">
        <v>103</v>
      </c>
      <c r="B6" s="288" t="str">
        <f>[1]Firma!$D$4</f>
        <v>09997110213</v>
      </c>
      <c r="C6" s="3"/>
      <c r="D6" s="3"/>
      <c r="E6" s="187" t="s">
        <v>128</v>
      </c>
      <c r="G6" s="149">
        <f>VLOOKUP($P$3,'[1]Mit-1'!$A$28:$C$42,3,FALSE)</f>
        <v>1</v>
      </c>
      <c r="H6" s="89" t="s">
        <v>9</v>
      </c>
      <c r="I6" s="54">
        <f>VLOOKUP($P$3,'[1]Mit-1'!$A$5:$U$19,7,FALSE)</f>
        <v>45597</v>
      </c>
      <c r="N6" s="1"/>
      <c r="O6" s="2"/>
      <c r="P6" s="1"/>
      <c r="Q6" s="549"/>
      <c r="R6" s="550"/>
      <c r="S6" s="551"/>
      <c r="T6" s="1"/>
      <c r="U6" s="1"/>
      <c r="V6" s="1"/>
      <c r="W6" s="1"/>
      <c r="X6" s="1"/>
      <c r="Y6" s="1"/>
      <c r="Z6" s="1"/>
    </row>
    <row r="7" spans="1:26" ht="16.899999999999999" customHeight="1" x14ac:dyDescent="0.2">
      <c r="A7" s="87" t="s">
        <v>104</v>
      </c>
      <c r="B7" s="288" t="str">
        <f>[1]Firma!$E$4</f>
        <v>1420030006</v>
      </c>
      <c r="C7" s="3"/>
      <c r="D7" s="3"/>
      <c r="E7" s="555" t="s">
        <v>129</v>
      </c>
      <c r="F7" s="556"/>
      <c r="G7" s="36">
        <f>VLOOKUP($P$3,'[1]Mit-1'!$A$5:$U$19,4,FALSE)</f>
        <v>30723</v>
      </c>
      <c r="H7" s="90" t="s">
        <v>10</v>
      </c>
      <c r="I7" s="53" t="str">
        <f>VLOOKUP($P$3,'[1]Mit-1'!$A$5:$U$19,5,FALSE)</f>
        <v>Bruneck</v>
      </c>
      <c r="N7" s="1"/>
      <c r="O7" s="2"/>
      <c r="P7" s="1"/>
      <c r="Q7" s="552" t="s">
        <v>134</v>
      </c>
      <c r="R7" s="553"/>
      <c r="S7" s="554"/>
      <c r="T7" s="1"/>
      <c r="U7" s="1"/>
      <c r="V7" s="1"/>
      <c r="W7" s="1"/>
      <c r="X7" s="1"/>
      <c r="Y7" s="1"/>
      <c r="Z7" s="1"/>
    </row>
    <row r="8" spans="1:26" ht="16.899999999999999" customHeight="1" x14ac:dyDescent="0.2">
      <c r="A8" s="87" t="s">
        <v>105</v>
      </c>
      <c r="B8" s="288" t="str">
        <f>[1]Firma!$F$4</f>
        <v>13625</v>
      </c>
      <c r="C8" s="3"/>
      <c r="D8" s="3"/>
      <c r="E8" s="555" t="s">
        <v>130</v>
      </c>
      <c r="F8" s="556"/>
      <c r="G8" s="149">
        <f>VLOOKUP($P$3,'[1]Mit-2'!$A$5:$P$19,4,FALSE)</f>
        <v>2</v>
      </c>
      <c r="H8" s="91" t="s">
        <v>231</v>
      </c>
      <c r="I8" s="150">
        <f>VLOOKUP($P$3,'[1]Mit-2'!$A$46:$AD$60,18,FALSE)</f>
        <v>0</v>
      </c>
      <c r="J8" s="475" t="s">
        <v>226</v>
      </c>
      <c r="K8" s="476"/>
      <c r="L8" s="476"/>
      <c r="M8" s="476"/>
      <c r="N8" s="476"/>
      <c r="O8" s="477"/>
      <c r="P8" s="1"/>
      <c r="Q8" s="552"/>
      <c r="R8" s="553"/>
      <c r="S8" s="554"/>
      <c r="T8" s="1"/>
      <c r="U8" s="1"/>
      <c r="V8" s="1"/>
      <c r="W8" s="1"/>
      <c r="X8" s="1"/>
      <c r="Y8" s="1"/>
      <c r="Z8" s="1"/>
    </row>
    <row r="9" spans="1:26" ht="16.899999999999999" customHeight="1" x14ac:dyDescent="0.2">
      <c r="A9" s="135"/>
      <c r="B9" s="72"/>
      <c r="C9" s="72"/>
      <c r="D9" s="72"/>
      <c r="E9" s="555" t="s">
        <v>131</v>
      </c>
      <c r="F9" s="556"/>
      <c r="G9" s="447">
        <f>VLOOKUP($P$3,'[1]Mit-2'!$A$5:$AD$19,18,FALSE)</f>
        <v>100</v>
      </c>
      <c r="H9" s="90" t="s">
        <v>232</v>
      </c>
      <c r="I9" s="429"/>
      <c r="J9" s="478"/>
      <c r="K9" s="479"/>
      <c r="L9" s="479"/>
      <c r="M9" s="479"/>
      <c r="N9" s="479"/>
      <c r="O9" s="480"/>
      <c r="P9" s="1"/>
      <c r="Q9" s="198"/>
      <c r="R9" s="430"/>
      <c r="S9" s="2"/>
      <c r="T9" s="287">
        <f>[1]Firma!$B$11</f>
        <v>29</v>
      </c>
      <c r="U9" s="1"/>
      <c r="V9" s="1"/>
      <c r="W9" s="1"/>
      <c r="X9" s="1"/>
      <c r="Y9" s="1"/>
      <c r="Z9" s="1"/>
    </row>
    <row r="10" spans="1:26" ht="10.9" customHeight="1" x14ac:dyDescent="0.2">
      <c r="A10" s="189" t="s">
        <v>108</v>
      </c>
      <c r="B10" s="26"/>
      <c r="C10" s="26"/>
      <c r="D10" s="26"/>
      <c r="E10" s="26"/>
      <c r="F10" s="26"/>
      <c r="G10" s="26"/>
      <c r="H10" s="26"/>
      <c r="I10" s="190"/>
      <c r="J10" s="481" t="s">
        <v>227</v>
      </c>
      <c r="K10" s="484" t="s">
        <v>228</v>
      </c>
      <c r="L10" s="487" t="s">
        <v>229</v>
      </c>
      <c r="M10" s="487" t="s">
        <v>264</v>
      </c>
      <c r="N10" s="487" t="s">
        <v>265</v>
      </c>
      <c r="O10" s="557" t="s">
        <v>266</v>
      </c>
      <c r="P10" s="1"/>
      <c r="Q10" s="538" t="s">
        <v>207</v>
      </c>
      <c r="R10" s="539"/>
      <c r="S10" s="540"/>
      <c r="T10" s="1"/>
      <c r="U10" s="1"/>
      <c r="V10" s="1"/>
      <c r="W10" s="1"/>
      <c r="X10" s="1"/>
      <c r="Y10" s="1"/>
      <c r="Z10" s="1"/>
    </row>
    <row r="11" spans="1:26" s="94" customFormat="1" ht="13.9" customHeight="1" x14ac:dyDescent="0.15">
      <c r="A11" s="181" t="s">
        <v>16</v>
      </c>
      <c r="B11" s="182" t="s">
        <v>11</v>
      </c>
      <c r="C11" s="182" t="s">
        <v>12</v>
      </c>
      <c r="D11" s="182" t="s">
        <v>13</v>
      </c>
      <c r="E11" s="544" t="s">
        <v>14</v>
      </c>
      <c r="F11" s="545"/>
      <c r="G11" s="182" t="s">
        <v>15</v>
      </c>
      <c r="H11" s="183" t="s">
        <v>218</v>
      </c>
      <c r="I11" s="186"/>
      <c r="J11" s="482"/>
      <c r="K11" s="485"/>
      <c r="L11" s="488"/>
      <c r="M11" s="488"/>
      <c r="N11" s="488"/>
      <c r="O11" s="558"/>
      <c r="P11" s="93"/>
      <c r="Q11" s="541"/>
      <c r="R11" s="542"/>
      <c r="S11" s="543"/>
      <c r="T11" s="93"/>
      <c r="U11" s="93"/>
      <c r="V11" s="93"/>
      <c r="W11" s="93"/>
      <c r="X11" s="93"/>
      <c r="Y11" s="93"/>
      <c r="Z11" s="93"/>
    </row>
    <row r="12" spans="1:26" x14ac:dyDescent="0.2">
      <c r="A12" s="171">
        <f>VLOOKUP($G$8,'[1]Lohntab-Tab-retr.'!$A$7:$O$15,3,1)</f>
        <v>1477.83</v>
      </c>
      <c r="B12" s="172">
        <f>VLOOKUP($G$8,'[1]Lohntab-Tab-retr.'!$A$21:$O$29,3,FALSE)</f>
        <v>532.54</v>
      </c>
      <c r="C12" s="172">
        <f>I8*VLOOKUP($G$8,'[1]Lohntab-Tab-retr.'!$A$63:$O$71,3,FALSE)</f>
        <v>0</v>
      </c>
      <c r="D12" s="172">
        <f>VLOOKUP($G$8,'[1]Lohntab-Tab-retr.'!$A$35:$O$43,3,FALSE)</f>
        <v>0</v>
      </c>
      <c r="E12" s="560">
        <f>VLOOKUP($G$8,'[1]Lohntab-Tab-retr.'!$A$49:$O$57,3,FALSE)</f>
        <v>8</v>
      </c>
      <c r="F12" s="560"/>
      <c r="G12" s="172">
        <f>VLOOKUP($P$3,'[1]Mit-2'!$A$24:$P$38,4,FALSE)</f>
        <v>0</v>
      </c>
      <c r="H12" s="172">
        <f>VLOOKUP($G$8,'[1]Lohntab-Tab-retr.'!$A$77:$O$85,3,FALSE)</f>
        <v>0</v>
      </c>
      <c r="I12" s="173"/>
      <c r="J12" s="482"/>
      <c r="K12" s="485"/>
      <c r="L12" s="488"/>
      <c r="M12" s="488"/>
      <c r="N12" s="488"/>
      <c r="O12" s="558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s="94" customFormat="1" ht="13.9" customHeight="1" x14ac:dyDescent="0.15">
      <c r="A13" s="168" t="s">
        <v>17</v>
      </c>
      <c r="B13" s="169" t="s">
        <v>18</v>
      </c>
      <c r="C13" s="169" t="s">
        <v>19</v>
      </c>
      <c r="D13" s="169" t="s">
        <v>20</v>
      </c>
      <c r="E13" s="561" t="s">
        <v>24</v>
      </c>
      <c r="F13" s="562"/>
      <c r="G13" s="169" t="s">
        <v>23</v>
      </c>
      <c r="H13" s="170" t="s">
        <v>21</v>
      </c>
      <c r="I13" s="177" t="s">
        <v>22</v>
      </c>
      <c r="J13" s="482"/>
      <c r="K13" s="485"/>
      <c r="L13" s="488"/>
      <c r="M13" s="488"/>
      <c r="N13" s="488"/>
      <c r="O13" s="558"/>
      <c r="P13" s="93"/>
      <c r="Q13" s="93"/>
      <c r="R13" s="93"/>
      <c r="S13" s="93"/>
      <c r="T13" s="93"/>
      <c r="U13" s="93"/>
      <c r="V13" s="93"/>
      <c r="W13" s="93"/>
      <c r="X13" s="93"/>
      <c r="Y13" s="93"/>
      <c r="Z13" s="93"/>
    </row>
    <row r="14" spans="1:26" x14ac:dyDescent="0.2">
      <c r="A14" s="178">
        <f>[1]Tab!G140</f>
        <v>168</v>
      </c>
      <c r="B14" s="240">
        <f>[1]Tab!G141</f>
        <v>26</v>
      </c>
      <c r="C14" s="179">
        <f>ROUND(I14/A14,5)</f>
        <v>12.014110000000001</v>
      </c>
      <c r="D14" s="179">
        <f>ROUND(I14/B14,5)</f>
        <v>77.629620000000003</v>
      </c>
      <c r="E14" s="563">
        <f>COUNT(K19:K49)</f>
        <v>0</v>
      </c>
      <c r="F14" s="563"/>
      <c r="G14" s="240">
        <f>K50</f>
        <v>0</v>
      </c>
      <c r="H14" s="240">
        <v>26</v>
      </c>
      <c r="I14" s="180">
        <f>SUM(A12:I12)</f>
        <v>2018.37</v>
      </c>
      <c r="J14" s="482"/>
      <c r="K14" s="485"/>
      <c r="L14" s="488"/>
      <c r="M14" s="488"/>
      <c r="N14" s="488"/>
      <c r="O14" s="558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</row>
    <row r="15" spans="1:26" s="94" customFormat="1" ht="13.9" customHeight="1" x14ac:dyDescent="0.15">
      <c r="A15" s="174" t="s">
        <v>26</v>
      </c>
      <c r="B15" s="175" t="s">
        <v>27</v>
      </c>
      <c r="C15" s="175" t="s">
        <v>25</v>
      </c>
      <c r="D15" s="175" t="s">
        <v>259</v>
      </c>
      <c r="E15" s="564" t="s">
        <v>260</v>
      </c>
      <c r="F15" s="565"/>
      <c r="G15" s="175" t="s">
        <v>261</v>
      </c>
      <c r="H15" s="146"/>
      <c r="I15" s="176"/>
      <c r="J15" s="482"/>
      <c r="K15" s="485"/>
      <c r="L15" s="488"/>
      <c r="M15" s="488"/>
      <c r="N15" s="488"/>
      <c r="O15" s="558"/>
      <c r="P15" s="93"/>
      <c r="Q15" s="93"/>
      <c r="R15" s="93"/>
      <c r="S15" s="93"/>
      <c r="T15" s="93"/>
      <c r="U15" s="93"/>
      <c r="V15" s="93"/>
      <c r="W15" s="93"/>
      <c r="X15" s="93"/>
      <c r="Y15" s="93"/>
      <c r="Z15" s="93"/>
    </row>
    <row r="16" spans="1:26" x14ac:dyDescent="0.2">
      <c r="A16" s="440">
        <f>'01'!A16+(VLOOKUP($P$3,'[1]Mit-2'!$A$90:$P$104,4,FALSE))*G9%</f>
        <v>0</v>
      </c>
      <c r="B16" s="438">
        <f>M50</f>
        <v>0</v>
      </c>
      <c r="C16" s="438">
        <f>A16-B16</f>
        <v>0</v>
      </c>
      <c r="D16" s="438">
        <f>'01'!D16+(VLOOKUP($P$3,'[1]Mit-2'!$A$90:$AD$104,18,FALSE))*G9%</f>
        <v>0</v>
      </c>
      <c r="E16" s="537">
        <f>N50</f>
        <v>0</v>
      </c>
      <c r="F16" s="537"/>
      <c r="G16" s="438">
        <f>D16-E16</f>
        <v>0</v>
      </c>
      <c r="H16" s="147"/>
      <c r="I16" s="185"/>
      <c r="J16" s="482"/>
      <c r="K16" s="485"/>
      <c r="L16" s="488"/>
      <c r="M16" s="488"/>
      <c r="N16" s="488"/>
      <c r="O16" s="558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</row>
    <row r="17" spans="1:26" ht="3.75" customHeight="1" x14ac:dyDescent="0.2">
      <c r="A17" s="167"/>
      <c r="B17" s="29"/>
      <c r="C17" s="29"/>
      <c r="D17" s="29"/>
      <c r="E17" s="29"/>
      <c r="F17" s="29"/>
      <c r="G17" s="29"/>
      <c r="H17" s="29"/>
      <c r="I17" s="35"/>
      <c r="J17" s="482"/>
      <c r="K17" s="485"/>
      <c r="L17" s="488"/>
      <c r="M17" s="488"/>
      <c r="N17" s="488"/>
      <c r="O17" s="558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s="92" customFormat="1" ht="16.899999999999999" customHeight="1" x14ac:dyDescent="0.15">
      <c r="A18" s="162" t="s">
        <v>28</v>
      </c>
      <c r="B18" s="163"/>
      <c r="C18" s="163"/>
      <c r="D18" s="96"/>
      <c r="E18" s="535" t="s">
        <v>29</v>
      </c>
      <c r="F18" s="536"/>
      <c r="G18" s="99" t="s">
        <v>31</v>
      </c>
      <c r="H18" s="86" t="s">
        <v>30</v>
      </c>
      <c r="I18" s="100" t="s">
        <v>233</v>
      </c>
      <c r="J18" s="483"/>
      <c r="K18" s="486"/>
      <c r="L18" s="489"/>
      <c r="M18" s="489"/>
      <c r="N18" s="489"/>
      <c r="O18" s="559"/>
      <c r="P18" s="97"/>
      <c r="V18" s="98"/>
      <c r="W18" s="98"/>
      <c r="X18" s="98"/>
      <c r="Y18" s="97"/>
      <c r="Z18" s="97"/>
    </row>
    <row r="19" spans="1:26" ht="12" customHeight="1" x14ac:dyDescent="0.2">
      <c r="A19" s="533"/>
      <c r="B19" s="534"/>
      <c r="C19" s="534"/>
      <c r="D19" s="417"/>
      <c r="E19" s="418"/>
      <c r="F19" s="419"/>
      <c r="G19" s="206">
        <f>VLOOKUP(A19,A66:F121,5,FALSE)</f>
        <v>0</v>
      </c>
      <c r="H19" s="308">
        <f>IF(E19="",0,IF(A19="",0,IF(E19="Std-ore",ROUND(C$14+C$14*G19,5),IF(E19="Tage-gg.",ROUND(D$14+D$14*G19,5),IF(E19="Monat-mese",ROUND($I$14+$I$14*G19,2))))))</f>
        <v>0</v>
      </c>
      <c r="I19" s="151">
        <f>ROUND(H19*F19,2)</f>
        <v>0</v>
      </c>
      <c r="J19" s="305">
        <v>1</v>
      </c>
      <c r="K19" s="409"/>
      <c r="L19" s="410"/>
      <c r="M19" s="410"/>
      <c r="N19" s="410"/>
      <c r="O19" s="411"/>
      <c r="P19" s="6"/>
      <c r="V19" s="1"/>
      <c r="W19" s="1"/>
      <c r="X19" s="1"/>
      <c r="Y19" s="7"/>
      <c r="Z19" s="6"/>
    </row>
    <row r="20" spans="1:26" ht="12" customHeight="1" x14ac:dyDescent="0.2">
      <c r="A20" s="526"/>
      <c r="B20" s="527"/>
      <c r="C20" s="527"/>
      <c r="D20" s="420"/>
      <c r="E20" s="421"/>
      <c r="F20" s="422"/>
      <c r="G20" s="206">
        <f>VLOOKUP(A20,A67:F122,5,FALSE)</f>
        <v>0</v>
      </c>
      <c r="H20" s="308">
        <f t="shared" ref="H20:H28" si="0">IF(E20="",0,IF(A20="",0,IF(E20="Std-ore",ROUND(C$14+C$14*G20,5),IF(E20="Tage-gg.",ROUND(D$14+D$14*G20,5),IF(E20="Monat-mese",ROUND($I$14+$I$14*G20,2))))))</f>
        <v>0</v>
      </c>
      <c r="I20" s="152">
        <f t="shared" ref="I20:I28" si="1">IF(A20="Abzug Bruttoberechnung Krankengeld INPS",ROUND(I19*G20,2),ROUND(H20*F20,2))</f>
        <v>0</v>
      </c>
      <c r="J20" s="306">
        <v>2</v>
      </c>
      <c r="K20" s="412"/>
      <c r="L20" s="413"/>
      <c r="M20" s="413"/>
      <c r="N20" s="413"/>
      <c r="O20" s="414"/>
      <c r="P20" s="6"/>
      <c r="V20" s="28"/>
      <c r="W20" s="6"/>
    </row>
    <row r="21" spans="1:26" ht="12" customHeight="1" x14ac:dyDescent="0.2">
      <c r="A21" s="526"/>
      <c r="B21" s="527"/>
      <c r="C21" s="527"/>
      <c r="D21" s="420"/>
      <c r="E21" s="421"/>
      <c r="F21" s="422"/>
      <c r="G21" s="206">
        <f>VLOOKUP(A21,A66:F121,5,FALSE)</f>
        <v>0</v>
      </c>
      <c r="H21" s="308">
        <f t="shared" si="0"/>
        <v>0</v>
      </c>
      <c r="I21" s="152">
        <f t="shared" si="1"/>
        <v>0</v>
      </c>
      <c r="J21" s="306">
        <v>3</v>
      </c>
      <c r="K21" s="412"/>
      <c r="L21" s="413"/>
      <c r="M21" s="413"/>
      <c r="N21" s="413"/>
      <c r="O21" s="414"/>
      <c r="P21" s="6"/>
      <c r="V21" s="28"/>
      <c r="W21" s="6"/>
    </row>
    <row r="22" spans="1:26" ht="12" customHeight="1" x14ac:dyDescent="0.2">
      <c r="A22" s="526"/>
      <c r="B22" s="527"/>
      <c r="C22" s="527"/>
      <c r="D22" s="420"/>
      <c r="E22" s="421"/>
      <c r="F22" s="422"/>
      <c r="G22" s="206">
        <f>VLOOKUP(A22,A67:F122,5,FALSE)</f>
        <v>0</v>
      </c>
      <c r="H22" s="308">
        <f>IF(E22="",0,IF(A22="",0,IF(E22="Std-ore",ROUND(C$14+C$14*G22,5),IF(E22="Tage-gg.",ROUND(D$14+D$14*G22,5),IF(E22="Monat-mese",ROUND($I$14+$I$14*G22,2))))))</f>
        <v>0</v>
      </c>
      <c r="I22" s="152">
        <f t="shared" si="1"/>
        <v>0</v>
      </c>
      <c r="J22" s="306">
        <v>4</v>
      </c>
      <c r="K22" s="412"/>
      <c r="L22" s="413"/>
      <c r="M22" s="413"/>
      <c r="N22" s="413"/>
      <c r="O22" s="414"/>
      <c r="P22" s="6"/>
      <c r="V22" s="28"/>
      <c r="W22" s="6"/>
    </row>
    <row r="23" spans="1:26" ht="12" customHeight="1" x14ac:dyDescent="0.2">
      <c r="A23" s="526"/>
      <c r="B23" s="527"/>
      <c r="C23" s="527"/>
      <c r="D23" s="420"/>
      <c r="E23" s="421"/>
      <c r="F23" s="422"/>
      <c r="G23" s="206">
        <f t="shared" ref="G23:G28" si="2">VLOOKUP(A23,A67:F122,5,FALSE)</f>
        <v>0</v>
      </c>
      <c r="H23" s="308">
        <f>IF(E23="",0,IF(A23="",0,IF(E23="Std-ore",ROUND(C$14+C$14*G23,5),IF(E23="Tage-gg.",ROUND(D$14+D$14*G23,5),IF(E23="Monat-mese",ROUND($I$14+$I$14*G23,2))))))</f>
        <v>0</v>
      </c>
      <c r="I23" s="152">
        <f t="shared" si="1"/>
        <v>0</v>
      </c>
      <c r="J23" s="306">
        <v>5</v>
      </c>
      <c r="K23" s="412"/>
      <c r="L23" s="413"/>
      <c r="M23" s="413"/>
      <c r="N23" s="413"/>
      <c r="O23" s="414"/>
      <c r="P23" s="6"/>
      <c r="V23" s="28"/>
      <c r="W23" s="6"/>
    </row>
    <row r="24" spans="1:26" ht="12" customHeight="1" x14ac:dyDescent="0.2">
      <c r="A24" s="526"/>
      <c r="B24" s="527"/>
      <c r="C24" s="527"/>
      <c r="D24" s="420"/>
      <c r="E24" s="421"/>
      <c r="F24" s="422"/>
      <c r="G24" s="206">
        <f t="shared" si="2"/>
        <v>0</v>
      </c>
      <c r="H24" s="308">
        <f t="shared" si="0"/>
        <v>0</v>
      </c>
      <c r="I24" s="152">
        <f t="shared" si="1"/>
        <v>0</v>
      </c>
      <c r="J24" s="306">
        <v>6</v>
      </c>
      <c r="K24" s="412"/>
      <c r="L24" s="413"/>
      <c r="M24" s="413"/>
      <c r="N24" s="413"/>
      <c r="O24" s="414"/>
      <c r="P24" s="6"/>
      <c r="V24" s="28"/>
      <c r="W24" s="6"/>
    </row>
    <row r="25" spans="1:26" ht="12" customHeight="1" x14ac:dyDescent="0.2">
      <c r="A25" s="526"/>
      <c r="B25" s="527"/>
      <c r="C25" s="527"/>
      <c r="D25" s="420"/>
      <c r="E25" s="421"/>
      <c r="F25" s="422"/>
      <c r="G25" s="206">
        <f t="shared" si="2"/>
        <v>0</v>
      </c>
      <c r="H25" s="308">
        <f t="shared" si="0"/>
        <v>0</v>
      </c>
      <c r="I25" s="152">
        <f t="shared" si="1"/>
        <v>0</v>
      </c>
      <c r="J25" s="306">
        <v>7</v>
      </c>
      <c r="K25" s="412"/>
      <c r="L25" s="413"/>
      <c r="M25" s="413"/>
      <c r="N25" s="413"/>
      <c r="O25" s="414"/>
      <c r="P25" s="6"/>
      <c r="W25" s="6"/>
    </row>
    <row r="26" spans="1:26" ht="12" customHeight="1" x14ac:dyDescent="0.2">
      <c r="A26" s="526"/>
      <c r="B26" s="527"/>
      <c r="C26" s="527"/>
      <c r="D26" s="420"/>
      <c r="E26" s="421"/>
      <c r="F26" s="422"/>
      <c r="G26" s="206">
        <f t="shared" si="2"/>
        <v>0</v>
      </c>
      <c r="H26" s="308">
        <f t="shared" si="0"/>
        <v>0</v>
      </c>
      <c r="I26" s="152">
        <f t="shared" si="1"/>
        <v>0</v>
      </c>
      <c r="J26" s="306">
        <v>8</v>
      </c>
      <c r="K26" s="412"/>
      <c r="L26" s="413"/>
      <c r="M26" s="413"/>
      <c r="N26" s="413"/>
      <c r="O26" s="414"/>
      <c r="P26" s="6"/>
      <c r="W26" s="6"/>
    </row>
    <row r="27" spans="1:26" ht="12" customHeight="1" x14ac:dyDescent="0.2">
      <c r="A27" s="526"/>
      <c r="B27" s="527"/>
      <c r="C27" s="527"/>
      <c r="D27" s="420"/>
      <c r="E27" s="421"/>
      <c r="F27" s="422"/>
      <c r="G27" s="206">
        <f t="shared" si="2"/>
        <v>0</v>
      </c>
      <c r="H27" s="308">
        <f t="shared" si="0"/>
        <v>0</v>
      </c>
      <c r="I27" s="152">
        <f t="shared" si="1"/>
        <v>0</v>
      </c>
      <c r="J27" s="306">
        <v>9</v>
      </c>
      <c r="K27" s="412"/>
      <c r="L27" s="413"/>
      <c r="M27" s="413"/>
      <c r="N27" s="413"/>
      <c r="O27" s="414"/>
      <c r="P27" s="6"/>
    </row>
    <row r="28" spans="1:26" ht="12" customHeight="1" x14ac:dyDescent="0.2">
      <c r="A28" s="526"/>
      <c r="B28" s="527"/>
      <c r="C28" s="527"/>
      <c r="D28" s="420"/>
      <c r="E28" s="421"/>
      <c r="F28" s="422"/>
      <c r="G28" s="206">
        <f t="shared" si="2"/>
        <v>0</v>
      </c>
      <c r="H28" s="308">
        <f t="shared" si="0"/>
        <v>0</v>
      </c>
      <c r="I28" s="152">
        <f t="shared" si="1"/>
        <v>0</v>
      </c>
      <c r="J28" s="306">
        <v>10</v>
      </c>
      <c r="K28" s="412"/>
      <c r="L28" s="413"/>
      <c r="M28" s="413"/>
      <c r="N28" s="413"/>
      <c r="O28" s="414"/>
      <c r="P28" s="6"/>
    </row>
    <row r="29" spans="1:26" ht="12" customHeight="1" x14ac:dyDescent="0.2">
      <c r="A29" s="119" t="s">
        <v>109</v>
      </c>
      <c r="B29" s="57"/>
      <c r="C29" s="57"/>
      <c r="D29" s="57"/>
      <c r="E29" s="57"/>
      <c r="F29" s="58"/>
      <c r="G29" s="57"/>
      <c r="H29" s="57"/>
      <c r="I29" s="154">
        <f>SUM(I19:I28)</f>
        <v>0</v>
      </c>
      <c r="J29" s="306">
        <v>11</v>
      </c>
      <c r="K29" s="412"/>
      <c r="L29" s="413"/>
      <c r="M29" s="413"/>
      <c r="N29" s="415"/>
      <c r="O29" s="416"/>
      <c r="P29" s="9"/>
    </row>
    <row r="30" spans="1:26" ht="12" customHeight="1" x14ac:dyDescent="0.2">
      <c r="A30" s="211" t="s">
        <v>236</v>
      </c>
      <c r="B30" s="55"/>
      <c r="C30" s="59"/>
      <c r="D30" s="59"/>
      <c r="E30" s="59"/>
      <c r="F30" s="102" t="s">
        <v>55</v>
      </c>
      <c r="G30" s="73">
        <f>ROUND(I29,0)</f>
        <v>0</v>
      </c>
      <c r="H30" s="164">
        <f>'[1]Mit-1'!$C$21</f>
        <v>9.1899999999999996E-2</v>
      </c>
      <c r="I30" s="151">
        <f>-ROUND(G30*H30,2)</f>
        <v>0</v>
      </c>
      <c r="J30" s="306">
        <v>12</v>
      </c>
      <c r="K30" s="412"/>
      <c r="L30" s="413"/>
      <c r="M30" s="413"/>
      <c r="N30" s="413"/>
      <c r="O30" s="414"/>
      <c r="P30" s="1"/>
      <c r="Z30" s="1"/>
    </row>
    <row r="31" spans="1:26" ht="12" customHeight="1" x14ac:dyDescent="0.2">
      <c r="A31" s="104" t="s">
        <v>237</v>
      </c>
      <c r="B31" s="61"/>
      <c r="C31" s="62"/>
      <c r="D31" s="62"/>
      <c r="E31" s="62"/>
      <c r="F31" s="103" t="s">
        <v>55</v>
      </c>
      <c r="G31" s="60">
        <f>ROUND(I29,2)</f>
        <v>0</v>
      </c>
      <c r="H31" s="165">
        <f>VLOOKUP($P$3,'[1]Mit-1'!$A$5:$U$19,19,FALSE)</f>
        <v>1.23E-2</v>
      </c>
      <c r="I31" s="152">
        <f>-ROUND(G31*H31,2)</f>
        <v>0</v>
      </c>
      <c r="J31" s="306">
        <v>13</v>
      </c>
      <c r="K31" s="412"/>
      <c r="L31" s="413"/>
      <c r="M31" s="413"/>
      <c r="N31" s="413"/>
      <c r="O31" s="414"/>
      <c r="P31" s="1"/>
      <c r="Z31" s="1"/>
    </row>
    <row r="32" spans="1:26" ht="12" customHeight="1" x14ac:dyDescent="0.2">
      <c r="A32" s="104" t="s">
        <v>234</v>
      </c>
      <c r="B32" s="61"/>
      <c r="C32" s="62"/>
      <c r="D32" s="62"/>
      <c r="E32" s="62"/>
      <c r="F32" s="103" t="s">
        <v>55</v>
      </c>
      <c r="G32" s="327">
        <f>IF(I29=0,0,IF(R9&gt;0,SUM(A12:B12)/T9*R9,SUM(A12:B12)))</f>
        <v>0</v>
      </c>
      <c r="H32" s="165">
        <f>'[1]Mit-1'!$I$21</f>
        <v>1E-3</v>
      </c>
      <c r="I32" s="152">
        <f>-ROUND(G32*H32,2)</f>
        <v>0</v>
      </c>
      <c r="J32" s="306">
        <v>14</v>
      </c>
      <c r="K32" s="412"/>
      <c r="L32" s="413"/>
      <c r="M32" s="413"/>
      <c r="N32" s="413"/>
      <c r="O32" s="414"/>
      <c r="P32" s="1"/>
      <c r="Z32" s="1"/>
    </row>
    <row r="33" spans="1:26" ht="12" customHeight="1" x14ac:dyDescent="0.2">
      <c r="A33" s="104" t="s">
        <v>235</v>
      </c>
      <c r="B33" s="61"/>
      <c r="C33" s="62"/>
      <c r="D33" s="62"/>
      <c r="E33" s="62"/>
      <c r="F33" s="103" t="s">
        <v>55</v>
      </c>
      <c r="G33" s="60">
        <f>G30</f>
        <v>0</v>
      </c>
      <c r="H33" s="165">
        <f>'[1]Mit-1'!$I$23</f>
        <v>4.0000000000000001E-3</v>
      </c>
      <c r="I33" s="152">
        <f>-ROUND(G33*H33,2)</f>
        <v>0</v>
      </c>
      <c r="J33" s="306">
        <v>15</v>
      </c>
      <c r="K33" s="412"/>
      <c r="L33" s="413"/>
      <c r="M33" s="413"/>
      <c r="N33" s="413"/>
      <c r="O33" s="414"/>
      <c r="P33" s="1"/>
      <c r="Z33" s="1"/>
    </row>
    <row r="34" spans="1:26" ht="12" customHeight="1" x14ac:dyDescent="0.2">
      <c r="A34" s="104" t="s">
        <v>258</v>
      </c>
      <c r="B34" s="61"/>
      <c r="C34" s="62"/>
      <c r="D34" s="62"/>
      <c r="E34" s="62"/>
      <c r="F34" s="394"/>
      <c r="G34" s="52"/>
      <c r="H34" s="395"/>
      <c r="I34" s="152">
        <f>-IF(I29=0,0,'[1]Mit-1'!$I$25)</f>
        <v>0</v>
      </c>
      <c r="J34" s="306">
        <v>16</v>
      </c>
      <c r="K34" s="412"/>
      <c r="L34" s="413"/>
      <c r="M34" s="413"/>
      <c r="N34" s="413"/>
      <c r="O34" s="414"/>
      <c r="P34" s="1"/>
      <c r="Z34" s="1"/>
    </row>
    <row r="35" spans="1:26" ht="12" customHeight="1" x14ac:dyDescent="0.2">
      <c r="A35" s="104" t="s">
        <v>110</v>
      </c>
      <c r="B35" s="10"/>
      <c r="C35" s="10"/>
      <c r="D35" s="10"/>
      <c r="E35" s="10"/>
      <c r="F35" s="10"/>
      <c r="G35" s="11"/>
      <c r="H35" s="63"/>
      <c r="I35" s="152">
        <f ca="1">-SUMIF($A$19:$C$28,"Krankheit INPS-Anteil*",$I$19:$I$28)</f>
        <v>0</v>
      </c>
      <c r="J35" s="306">
        <v>17</v>
      </c>
      <c r="K35" s="412"/>
      <c r="L35" s="413"/>
      <c r="M35" s="413"/>
      <c r="N35" s="413"/>
      <c r="O35" s="414"/>
      <c r="P35" s="6"/>
      <c r="Y35" s="6"/>
      <c r="Z35" s="6"/>
    </row>
    <row r="36" spans="1:26" ht="12" customHeight="1" x14ac:dyDescent="0.2">
      <c r="A36" s="104" t="s">
        <v>111</v>
      </c>
      <c r="B36" s="10"/>
      <c r="C36" s="10"/>
      <c r="D36" s="10"/>
      <c r="E36" s="10"/>
      <c r="F36" s="10"/>
      <c r="G36" s="11"/>
      <c r="H36" s="63"/>
      <c r="I36" s="152">
        <f ca="1">-SUMIF($A$19:$C$28,"Mutterschaft INPS-Anteil*",$I$19:$I$28)</f>
        <v>0</v>
      </c>
      <c r="J36" s="306">
        <v>18</v>
      </c>
      <c r="K36" s="412"/>
      <c r="L36" s="413"/>
      <c r="M36" s="413"/>
      <c r="N36" s="413"/>
      <c r="O36" s="414"/>
      <c r="P36" s="6"/>
      <c r="Y36" s="6"/>
      <c r="Z36" s="6"/>
    </row>
    <row r="37" spans="1:26" ht="12" customHeight="1" x14ac:dyDescent="0.2">
      <c r="A37" s="105" t="s">
        <v>112</v>
      </c>
      <c r="B37" s="10"/>
      <c r="C37" s="10"/>
      <c r="D37" s="10"/>
      <c r="E37" s="10"/>
      <c r="F37" s="10"/>
      <c r="G37" s="11"/>
      <c r="H37" s="52">
        <f>ROUND(IF(I29=0,0,VLOOKUP($P$3,'[1]Mit-1'!$A$5:$AD$19,12,FALSE)),2)</f>
        <v>0</v>
      </c>
      <c r="I37" s="155"/>
      <c r="J37" s="306">
        <v>19</v>
      </c>
      <c r="K37" s="412"/>
      <c r="L37" s="413"/>
      <c r="M37" s="413"/>
      <c r="N37" s="413"/>
      <c r="O37" s="414"/>
      <c r="P37" s="6"/>
      <c r="Y37" s="6"/>
      <c r="Z37" s="6"/>
    </row>
    <row r="38" spans="1:26" ht="12" customHeight="1" x14ac:dyDescent="0.2">
      <c r="A38" s="107" t="s">
        <v>113</v>
      </c>
      <c r="B38" s="10"/>
      <c r="C38" s="10"/>
      <c r="D38" s="10"/>
      <c r="E38" s="10"/>
      <c r="F38" s="10"/>
      <c r="G38" s="11"/>
      <c r="H38" s="236">
        <f ca="1">IF(SUM(I29:I37)-H37&lt;0,0,SUM(I29:I36)-H37)</f>
        <v>0</v>
      </c>
      <c r="I38" s="156"/>
      <c r="J38" s="306">
        <v>20</v>
      </c>
      <c r="K38" s="412"/>
      <c r="L38" s="413"/>
      <c r="M38" s="413"/>
      <c r="N38" s="413"/>
      <c r="O38" s="414"/>
      <c r="P38" s="6"/>
      <c r="Y38" s="6"/>
      <c r="Z38" s="6"/>
    </row>
    <row r="39" spans="1:26" ht="12" customHeight="1" x14ac:dyDescent="0.2">
      <c r="A39" s="211" t="s">
        <v>143</v>
      </c>
      <c r="B39" s="14"/>
      <c r="C39" s="14"/>
      <c r="D39" s="14"/>
      <c r="E39" s="14"/>
      <c r="F39" s="14"/>
      <c r="G39" s="14"/>
      <c r="H39" s="238">
        <f ca="1">-U50</f>
        <v>0</v>
      </c>
      <c r="I39" s="159"/>
      <c r="J39" s="306">
        <v>21</v>
      </c>
      <c r="K39" s="412"/>
      <c r="L39" s="413"/>
      <c r="M39" s="413"/>
      <c r="N39" s="413"/>
      <c r="O39" s="414"/>
      <c r="P39" s="6"/>
      <c r="R39" s="216"/>
      <c r="V39" s="6"/>
      <c r="W39" s="6"/>
      <c r="X39" s="6"/>
      <c r="Y39" s="6"/>
      <c r="Z39" s="6"/>
    </row>
    <row r="40" spans="1:26" ht="12" customHeight="1" x14ac:dyDescent="0.2">
      <c r="A40" s="104" t="s">
        <v>144</v>
      </c>
      <c r="B40" s="10"/>
      <c r="C40" s="10"/>
      <c r="D40" s="10"/>
      <c r="E40" s="10"/>
      <c r="F40" s="10"/>
      <c r="G40" s="10"/>
      <c r="H40" s="242">
        <f>ROUND(IF(I29=0,0,VLOOKUP($P$3,'[1]Mit-1'!$A$5:$AB$19,13,FALSE)/[1]Firma!$B$24*IF(R9=0,T9,R9)),2)</f>
        <v>0</v>
      </c>
      <c r="I40" s="156"/>
      <c r="J40" s="306">
        <v>22</v>
      </c>
      <c r="K40" s="412"/>
      <c r="L40" s="413"/>
      <c r="M40" s="413"/>
      <c r="N40" s="413"/>
      <c r="O40" s="414"/>
      <c r="P40" s="6"/>
      <c r="Q40" s="220"/>
      <c r="R40" s="216"/>
      <c r="S40" s="217"/>
      <c r="T40" s="218"/>
      <c r="U40" s="219"/>
      <c r="V40" s="6"/>
      <c r="W40" s="6"/>
      <c r="X40" s="6"/>
      <c r="Y40" s="6"/>
      <c r="Z40" s="6"/>
    </row>
    <row r="41" spans="1:26" ht="12" customHeight="1" x14ac:dyDescent="0.2">
      <c r="A41" s="110" t="s">
        <v>145</v>
      </c>
      <c r="B41" s="221"/>
      <c r="C41" s="221"/>
      <c r="D41" s="221"/>
      <c r="E41" s="221"/>
      <c r="F41" s="221"/>
      <c r="G41" s="221"/>
      <c r="H41" s="242">
        <f>ROUND(IF(I29=0,0,VLOOKUP($P$3,'[1]Mit-2'!$A$46:$P$60,3,FALSE)/12),2)</f>
        <v>0</v>
      </c>
      <c r="I41" s="286"/>
      <c r="J41" s="306">
        <v>23</v>
      </c>
      <c r="K41" s="412"/>
      <c r="L41" s="413"/>
      <c r="M41" s="413"/>
      <c r="N41" s="413"/>
      <c r="O41" s="414"/>
      <c r="P41" s="6"/>
      <c r="Q41" s="492" t="s">
        <v>4</v>
      </c>
      <c r="R41" s="493"/>
      <c r="S41" s="494" t="s">
        <v>7</v>
      </c>
      <c r="T41" s="498" t="s">
        <v>5</v>
      </c>
      <c r="U41" s="490" t="s">
        <v>2</v>
      </c>
      <c r="V41" s="6"/>
      <c r="W41" s="6"/>
      <c r="X41" s="6"/>
      <c r="Y41" s="6"/>
      <c r="Z41" s="6"/>
    </row>
    <row r="42" spans="1:26" ht="12" customHeight="1" x14ac:dyDescent="0.2">
      <c r="A42" s="108" t="s">
        <v>146</v>
      </c>
      <c r="B42" s="64"/>
      <c r="C42" s="64"/>
      <c r="D42" s="64"/>
      <c r="E42" s="64"/>
      <c r="F42" s="64"/>
      <c r="G42" s="64"/>
      <c r="H42" s="65"/>
      <c r="I42" s="157">
        <f ca="1">IF(SUM(H39:H41)&gt;=0,0,SUM(H39:H41))</f>
        <v>0</v>
      </c>
      <c r="J42" s="306">
        <v>24</v>
      </c>
      <c r="K42" s="412"/>
      <c r="L42" s="413"/>
      <c r="M42" s="413"/>
      <c r="N42" s="413"/>
      <c r="O42" s="414"/>
      <c r="P42" s="6"/>
      <c r="Q42" s="529"/>
      <c r="R42" s="530"/>
      <c r="S42" s="532"/>
      <c r="T42" s="531"/>
      <c r="U42" s="528"/>
      <c r="V42" s="6"/>
      <c r="W42" s="6"/>
      <c r="X42" s="6"/>
      <c r="Y42" s="6"/>
      <c r="Z42" s="6"/>
    </row>
    <row r="43" spans="1:26" ht="12" customHeight="1" x14ac:dyDescent="0.2">
      <c r="A43" s="106" t="s">
        <v>141</v>
      </c>
      <c r="B43" s="212"/>
      <c r="C43" s="10"/>
      <c r="D43" s="213"/>
      <c r="E43" s="574"/>
      <c r="F43" s="575"/>
      <c r="G43" s="214"/>
      <c r="H43" s="215" t="s">
        <v>33</v>
      </c>
      <c r="I43" s="151"/>
      <c r="J43" s="306">
        <v>25</v>
      </c>
      <c r="K43" s="412"/>
      <c r="L43" s="413"/>
      <c r="M43" s="413"/>
      <c r="N43" s="413"/>
      <c r="O43" s="414"/>
      <c r="P43" s="6"/>
      <c r="Q43" s="81" t="s">
        <v>0</v>
      </c>
      <c r="R43" s="82" t="s">
        <v>1</v>
      </c>
      <c r="S43" s="495"/>
      <c r="T43" s="499"/>
      <c r="U43" s="491"/>
      <c r="V43" s="6"/>
      <c r="W43" s="6"/>
      <c r="X43" s="6"/>
      <c r="Y43" s="6"/>
      <c r="Z43" s="6"/>
    </row>
    <row r="44" spans="1:26" ht="12" customHeight="1" x14ac:dyDescent="0.2">
      <c r="A44" s="104" t="s">
        <v>114</v>
      </c>
      <c r="B44" s="15"/>
      <c r="C44" s="8"/>
      <c r="D44" s="16"/>
      <c r="E44" s="511"/>
      <c r="F44" s="512"/>
      <c r="G44" s="17"/>
      <c r="H44" s="407"/>
      <c r="I44" s="158">
        <f>-H44</f>
        <v>0</v>
      </c>
      <c r="J44" s="306">
        <v>26</v>
      </c>
      <c r="K44" s="412"/>
      <c r="L44" s="413"/>
      <c r="M44" s="413"/>
      <c r="N44" s="413"/>
      <c r="O44" s="414"/>
      <c r="P44" s="6"/>
      <c r="Q44" s="78">
        <f>[1]Tab!E8</f>
        <v>0</v>
      </c>
      <c r="R44" s="74">
        <f>[1]Tab!F8</f>
        <v>1250</v>
      </c>
      <c r="S44" s="75">
        <f>[1]Tab!G8</f>
        <v>0.23</v>
      </c>
      <c r="T44" s="76">
        <f>ROUND(R44*S44,2)</f>
        <v>287.5</v>
      </c>
      <c r="U44" s="76">
        <f ca="1">ROUND(IF(AND($H$38&lt;=R44,$H$38&gt;0),$H$38*S44,0),2)</f>
        <v>0</v>
      </c>
      <c r="V44" s="6"/>
      <c r="W44" s="6"/>
      <c r="X44" s="6"/>
      <c r="Y44" s="6"/>
      <c r="Z44" s="6"/>
    </row>
    <row r="45" spans="1:26" s="1" customFormat="1" ht="12" customHeight="1" x14ac:dyDescent="0.2">
      <c r="A45" s="110" t="s">
        <v>115</v>
      </c>
      <c r="B45" s="18"/>
      <c r="C45" s="111" t="s">
        <v>220</v>
      </c>
      <c r="D45" s="19">
        <v>11</v>
      </c>
      <c r="E45" s="511"/>
      <c r="F45" s="512"/>
      <c r="G45" s="20"/>
      <c r="H45" s="24">
        <f>IF(I29=0,0,VLOOKUP($P$3,'[1]Mit-2'!$A$65:$P$79,4,FALSE))</f>
        <v>0</v>
      </c>
      <c r="I45" s="155">
        <f>IF($I$9="",ROUND(IF($I$29=0,0,-H45/D45),2),-Steuern!J45)</f>
        <v>0</v>
      </c>
      <c r="J45" s="306">
        <v>27</v>
      </c>
      <c r="K45" s="412"/>
      <c r="L45" s="413"/>
      <c r="M45" s="413"/>
      <c r="N45" s="413"/>
      <c r="O45" s="414"/>
      <c r="P45" s="6"/>
      <c r="Q45" s="78">
        <f>[1]Tab!E9</f>
        <v>1250.01</v>
      </c>
      <c r="R45" s="74">
        <f>[1]Tab!F9</f>
        <v>2333.33</v>
      </c>
      <c r="S45" s="75">
        <f>[1]Tab!G9</f>
        <v>0.23</v>
      </c>
      <c r="T45" s="76">
        <f>ROUND((R45-Q45)*S45+T44,2)</f>
        <v>536.66</v>
      </c>
      <c r="U45" s="76">
        <f ca="1">ROUND(IF(AND($H$38&lt;=R45,$H$38&gt;=Q45),T44+($H$38-R44)*S45,0),2)</f>
        <v>0</v>
      </c>
      <c r="V45" s="6"/>
      <c r="W45" s="6"/>
      <c r="X45" s="6"/>
      <c r="Y45" s="6"/>
      <c r="Z45" s="6"/>
    </row>
    <row r="46" spans="1:26" ht="12" customHeight="1" x14ac:dyDescent="0.2">
      <c r="A46" s="101" t="s">
        <v>142</v>
      </c>
      <c r="B46" s="13"/>
      <c r="C46" s="14"/>
      <c r="D46" s="12"/>
      <c r="E46" s="580"/>
      <c r="F46" s="581"/>
      <c r="G46" s="112"/>
      <c r="H46" s="113" t="s">
        <v>33</v>
      </c>
      <c r="I46" s="151"/>
      <c r="J46" s="306">
        <v>28</v>
      </c>
      <c r="K46" s="412"/>
      <c r="L46" s="413"/>
      <c r="M46" s="413"/>
      <c r="N46" s="413"/>
      <c r="O46" s="414"/>
      <c r="P46" s="6"/>
      <c r="Q46" s="78">
        <f>[1]Tab!E10</f>
        <v>2333.34</v>
      </c>
      <c r="R46" s="74">
        <f>[1]Tab!F10</f>
        <v>4166.67</v>
      </c>
      <c r="S46" s="75">
        <f>[1]Tab!G10</f>
        <v>0.35</v>
      </c>
      <c r="T46" s="76">
        <f>ROUND((R46-Q46)*S46+T45,2)</f>
        <v>1178.33</v>
      </c>
      <c r="U46" s="76">
        <f ca="1">ROUND(IF(AND($H$38&lt;=R46,$H$38&gt;=Q46),T45+($H$38-R45)*S46,0),2)</f>
        <v>0</v>
      </c>
      <c r="V46" s="6"/>
      <c r="W46" s="6"/>
      <c r="X46" s="6"/>
      <c r="Y46" s="6"/>
      <c r="Z46" s="6"/>
    </row>
    <row r="47" spans="1:26" ht="12" customHeight="1" x14ac:dyDescent="0.2">
      <c r="A47" s="104" t="s">
        <v>114</v>
      </c>
      <c r="B47" s="15"/>
      <c r="C47" s="8"/>
      <c r="D47" s="16"/>
      <c r="E47" s="511"/>
      <c r="F47" s="512"/>
      <c r="G47" s="17"/>
      <c r="H47" s="407"/>
      <c r="I47" s="152">
        <f>-H47</f>
        <v>0</v>
      </c>
      <c r="J47" s="306">
        <v>29</v>
      </c>
      <c r="K47" s="412"/>
      <c r="L47" s="413"/>
      <c r="M47" s="413"/>
      <c r="N47" s="413"/>
      <c r="O47" s="414"/>
      <c r="P47" s="1"/>
      <c r="Q47" s="78">
        <f>[1]Tab!E11</f>
        <v>4166.68</v>
      </c>
      <c r="R47" s="74">
        <f>[1]Tab!F11</f>
        <v>0</v>
      </c>
      <c r="S47" s="75">
        <f>[1]Tab!G11</f>
        <v>0.43</v>
      </c>
      <c r="T47" s="76"/>
      <c r="U47" s="76">
        <f ca="1">ROUND(IF(AND($H$38&lt;=R47,$H$38&gt;=Q47),T46+($H$38-R46)*S47,0),2)</f>
        <v>0</v>
      </c>
      <c r="V47" s="1"/>
      <c r="W47" s="1"/>
      <c r="X47" s="1"/>
      <c r="Y47" s="1"/>
      <c r="Z47" s="1"/>
    </row>
    <row r="48" spans="1:26" ht="12" customHeight="1" x14ac:dyDescent="0.2">
      <c r="A48" s="224" t="s">
        <v>115</v>
      </c>
      <c r="B48" s="225"/>
      <c r="C48" s="226" t="s">
        <v>48</v>
      </c>
      <c r="D48" s="227">
        <v>11</v>
      </c>
      <c r="E48" s="578"/>
      <c r="F48" s="579"/>
      <c r="G48" s="228"/>
      <c r="H48" s="339">
        <f>IF(I29=0,0,VLOOKUP($P$3,'[1]Mit-2'!$A$65:$AD$79,18,FALSE))</f>
        <v>0</v>
      </c>
      <c r="I48" s="155">
        <f>IF($I$9="",ROUND(IF($I$29=0,0,-H48/D48),2),-Steuern!N45)</f>
        <v>0</v>
      </c>
      <c r="J48" s="306">
        <v>30</v>
      </c>
      <c r="K48" s="412"/>
      <c r="L48" s="413"/>
      <c r="M48" s="413"/>
      <c r="N48" s="413"/>
      <c r="O48" s="414"/>
      <c r="P48" s="1"/>
      <c r="Q48" s="78">
        <f>[1]Tab!E12</f>
        <v>0</v>
      </c>
      <c r="R48" s="74"/>
      <c r="S48" s="75">
        <f>[1]Tab!G12</f>
        <v>0</v>
      </c>
      <c r="T48" s="77"/>
      <c r="U48" s="76">
        <f ca="1">ROUND(IF($H$38&gt;R47,T47+($H$38-R47)*S48,0),2)</f>
        <v>0</v>
      </c>
      <c r="V48" s="1"/>
      <c r="W48" s="1"/>
      <c r="X48" s="1"/>
      <c r="Y48" s="1"/>
      <c r="Z48" s="1"/>
    </row>
    <row r="49" spans="1:26" ht="12" customHeight="1" x14ac:dyDescent="0.2">
      <c r="A49" s="110" t="s">
        <v>147</v>
      </c>
      <c r="B49" s="231"/>
      <c r="C49" s="232"/>
      <c r="D49" s="233"/>
      <c r="E49" s="514"/>
      <c r="F49" s="515"/>
      <c r="G49" s="234"/>
      <c r="H49" s="235"/>
      <c r="I49" s="153"/>
      <c r="J49" s="310">
        <v>31</v>
      </c>
      <c r="K49" s="412"/>
      <c r="L49" s="413"/>
      <c r="M49" s="413"/>
      <c r="N49" s="413"/>
      <c r="O49" s="414"/>
      <c r="P49" s="1"/>
      <c r="Q49" s="78">
        <f>[1]Tab!E13</f>
        <v>0</v>
      </c>
      <c r="R49" s="74"/>
      <c r="S49" s="75">
        <f>[1]Tab!G13</f>
        <v>0</v>
      </c>
      <c r="T49" s="77"/>
      <c r="U49" s="76">
        <f ca="1">ROUND(IF($H$38&gt;R48,T48+($H$38-R48)*S49,0),2)</f>
        <v>0</v>
      </c>
      <c r="V49" s="1"/>
      <c r="W49" s="1"/>
      <c r="X49" s="1"/>
      <c r="Y49" s="1"/>
      <c r="Z49" s="1"/>
    </row>
    <row r="50" spans="1:26" ht="12" customHeight="1" x14ac:dyDescent="0.2">
      <c r="A50" s="109" t="s">
        <v>139</v>
      </c>
      <c r="B50" s="21"/>
      <c r="C50" s="114" t="s">
        <v>34</v>
      </c>
      <c r="D50" s="114" t="s">
        <v>160</v>
      </c>
      <c r="E50" s="509" t="s">
        <v>161</v>
      </c>
      <c r="F50" s="510"/>
      <c r="G50" s="114" t="s">
        <v>162</v>
      </c>
      <c r="H50" s="230" t="s">
        <v>36</v>
      </c>
      <c r="I50" s="156"/>
      <c r="J50" s="311"/>
      <c r="K50" s="500">
        <f>SUM(K19:K49)</f>
        <v>0</v>
      </c>
      <c r="L50" s="496">
        <f>SUM(L19:L49)</f>
        <v>0</v>
      </c>
      <c r="M50" s="496">
        <f>SUM(M19:M49)</f>
        <v>0</v>
      </c>
      <c r="N50" s="496">
        <f>SUM(N19:N49)</f>
        <v>0</v>
      </c>
      <c r="O50" s="502">
        <f>SUM(O19:O49)</f>
        <v>0</v>
      </c>
      <c r="P50" s="6"/>
      <c r="Q50" s="208" t="s">
        <v>8</v>
      </c>
      <c r="R50" s="209"/>
      <c r="S50" s="79"/>
      <c r="T50" s="64"/>
      <c r="U50" s="80">
        <f ca="1">ROUND(SUM(U44:U47),2)</f>
        <v>0</v>
      </c>
      <c r="V50" s="6"/>
      <c r="W50" s="6"/>
      <c r="X50" s="6"/>
      <c r="Y50" s="6"/>
      <c r="Z50" s="6"/>
    </row>
    <row r="51" spans="1:26" ht="12" customHeight="1" x14ac:dyDescent="0.2">
      <c r="A51" s="104" t="s">
        <v>117</v>
      </c>
      <c r="B51" s="22"/>
      <c r="C51" s="60">
        <f>IF(I29=0,0,Steuern!J77)</f>
        <v>0</v>
      </c>
      <c r="D51" s="60">
        <f>IF(I29=0,0,Steuern!L77)</f>
        <v>0</v>
      </c>
      <c r="E51" s="511">
        <f>IF(I29=0,0,Steuern!N77)</f>
        <v>0</v>
      </c>
      <c r="F51" s="512"/>
      <c r="G51" s="60">
        <f>IF(I29=0,0,Steuern!P77)</f>
        <v>0</v>
      </c>
      <c r="H51" s="67">
        <f>IF(I29=0,0,Steuern!R77)</f>
        <v>0</v>
      </c>
      <c r="I51" s="156"/>
      <c r="J51" s="309"/>
      <c r="K51" s="501"/>
      <c r="L51" s="497"/>
      <c r="M51" s="497"/>
      <c r="N51" s="497"/>
      <c r="O51" s="503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</row>
    <row r="52" spans="1:26" ht="12" customHeight="1" x14ac:dyDescent="0.2">
      <c r="A52" s="110" t="s">
        <v>138</v>
      </c>
      <c r="B52" s="23"/>
      <c r="C52" s="68">
        <f>IF($I$9="",0,Steuern!J89)</f>
        <v>0</v>
      </c>
      <c r="D52" s="68">
        <f>U60</f>
        <v>0</v>
      </c>
      <c r="E52" s="520">
        <f>IF($I$9="",0,conguaglio!F60)</f>
        <v>0</v>
      </c>
      <c r="F52" s="521"/>
      <c r="G52" s="50">
        <f>IF($I$9="",0,conguaglio!G63)</f>
        <v>0</v>
      </c>
      <c r="H52" s="312">
        <f>IF((D52-E52-G52)&lt;0,0,D52-E52-G52)</f>
        <v>0</v>
      </c>
      <c r="I52" s="153">
        <f>IF($I$9="",0,H51-H52)</f>
        <v>0</v>
      </c>
      <c r="J52" s="504" t="s">
        <v>230</v>
      </c>
      <c r="K52" s="505"/>
      <c r="L52" s="505"/>
      <c r="M52" s="505"/>
      <c r="N52" s="505"/>
      <c r="O52" s="506"/>
      <c r="P52" s="6"/>
      <c r="Q52" s="6"/>
      <c r="R52" s="6"/>
      <c r="S52" s="6"/>
      <c r="T52" s="66"/>
      <c r="U52" s="6"/>
      <c r="V52" s="6"/>
      <c r="W52" s="6"/>
      <c r="X52" s="6"/>
      <c r="Y52" s="6"/>
      <c r="Z52" s="6"/>
    </row>
    <row r="53" spans="1:26" ht="12" customHeight="1" x14ac:dyDescent="0.2">
      <c r="A53" s="119" t="s">
        <v>119</v>
      </c>
      <c r="B53" s="26"/>
      <c r="C53" s="26"/>
      <c r="D53" s="26"/>
      <c r="E53" s="26"/>
      <c r="F53" s="26"/>
      <c r="G53" s="26"/>
      <c r="H53" s="26"/>
      <c r="I53" s="154">
        <f ca="1">SUM(I29:I52)</f>
        <v>0</v>
      </c>
      <c r="J53" s="307"/>
      <c r="O53" s="134"/>
      <c r="P53" s="3"/>
      <c r="Q53" s="492" t="s">
        <v>6</v>
      </c>
      <c r="R53" s="493"/>
      <c r="S53" s="494" t="s">
        <v>7</v>
      </c>
      <c r="T53" s="498" t="s">
        <v>5</v>
      </c>
      <c r="U53" s="490" t="s">
        <v>2</v>
      </c>
      <c r="V53" s="3"/>
      <c r="W53" s="3"/>
      <c r="X53" s="3"/>
      <c r="Y53" s="3"/>
      <c r="Z53" s="3"/>
    </row>
    <row r="54" spans="1:26" ht="12" customHeight="1" x14ac:dyDescent="0.2">
      <c r="A54" s="115" t="s">
        <v>120</v>
      </c>
      <c r="B54" s="95" t="s">
        <v>124</v>
      </c>
      <c r="C54" s="191">
        <f>IF($I$9="",0,VLOOKUP($P$3,'[1]Mit-1'!$A$5:$AD$19,22,FALSE))</f>
        <v>0</v>
      </c>
      <c r="D54" s="95" t="s">
        <v>38</v>
      </c>
      <c r="E54" s="522">
        <f>ROUND(IF($I$9="",0,Steuern!$D$89/13.5),2)</f>
        <v>0</v>
      </c>
      <c r="F54" s="523"/>
      <c r="G54" s="95" t="s">
        <v>40</v>
      </c>
      <c r="H54" s="192">
        <f>IF($I$9="",0,Steuern!$F$89)</f>
        <v>0</v>
      </c>
      <c r="I54" s="398">
        <f>C54+E54-H54</f>
        <v>0</v>
      </c>
      <c r="J54" s="568"/>
      <c r="K54" s="476"/>
      <c r="L54" s="476"/>
      <c r="M54" s="476"/>
      <c r="N54" s="476"/>
      <c r="O54" s="477"/>
      <c r="Q54" s="81" t="s">
        <v>0</v>
      </c>
      <c r="R54" s="82" t="s">
        <v>1</v>
      </c>
      <c r="S54" s="495"/>
      <c r="T54" s="499"/>
      <c r="U54" s="491"/>
      <c r="V54" s="1"/>
      <c r="W54" s="1"/>
      <c r="X54" s="1"/>
    </row>
    <row r="55" spans="1:26" ht="15" customHeight="1" x14ac:dyDescent="0.2">
      <c r="A55" s="116" t="s">
        <v>121</v>
      </c>
      <c r="B55" s="117" t="s">
        <v>37</v>
      </c>
      <c r="C55" s="405"/>
      <c r="D55" s="117" t="s">
        <v>39</v>
      </c>
      <c r="E55" s="524"/>
      <c r="F55" s="525"/>
      <c r="G55" s="117" t="s">
        <v>35</v>
      </c>
      <c r="H55" s="407"/>
      <c r="I55" s="399">
        <f>-(E55-H55)</f>
        <v>0</v>
      </c>
      <c r="J55" s="402"/>
      <c r="K55" s="401"/>
      <c r="L55" s="401"/>
      <c r="M55" s="401"/>
      <c r="N55" s="572"/>
      <c r="O55" s="573"/>
      <c r="Q55" s="78">
        <f>[1]Tab!A8</f>
        <v>0</v>
      </c>
      <c r="R55" s="74">
        <f>[1]Tab!D8</f>
        <v>15000</v>
      </c>
      <c r="S55" s="75">
        <f>S44</f>
        <v>0.23</v>
      </c>
      <c r="T55" s="76">
        <f>ROUND(R55*S55,2)</f>
        <v>3450</v>
      </c>
      <c r="U55" s="76">
        <f>ROUND(IF(AND($C$52&lt;=R55,C52&gt;0),$C$52*S55,0),2)</f>
        <v>0</v>
      </c>
      <c r="V55" s="1"/>
      <c r="W55" s="1"/>
      <c r="X55" s="1"/>
    </row>
    <row r="56" spans="1:26" ht="16.899999999999999" customHeight="1" x14ac:dyDescent="0.2">
      <c r="A56" s="453" t="s">
        <v>122</v>
      </c>
      <c r="B56" s="118" t="s">
        <v>125</v>
      </c>
      <c r="C56" s="454">
        <f>ROUND(C54*'[1]Mit-2'!$D$84%,2)</f>
        <v>0</v>
      </c>
      <c r="D56" s="118" t="s">
        <v>262</v>
      </c>
      <c r="E56" s="520">
        <f>ROUND(C56*[1]Tab!$G$142,2)</f>
        <v>0</v>
      </c>
      <c r="F56" s="521"/>
      <c r="G56" s="455"/>
      <c r="H56" s="456"/>
      <c r="I56" s="153">
        <f>C56-E56</f>
        <v>0</v>
      </c>
      <c r="J56" s="402"/>
      <c r="K56" s="401"/>
      <c r="L56" s="401"/>
      <c r="M56" s="401"/>
      <c r="N56" s="572"/>
      <c r="O56" s="573"/>
      <c r="Q56" s="78">
        <f>[1]Tab!A9</f>
        <v>15000.01</v>
      </c>
      <c r="R56" s="74">
        <f>[1]Tab!D9</f>
        <v>28000</v>
      </c>
      <c r="S56" s="75">
        <f>S45</f>
        <v>0.23</v>
      </c>
      <c r="T56" s="76">
        <f>ROUND((R56-Q56)*S56+T55,2)</f>
        <v>6440</v>
      </c>
      <c r="U56" s="76">
        <f>ROUND(IF(AND($C$52&lt;=R56,$C$52&gt;=Q56),T55+($C$52-R55)*S56,0),2)</f>
        <v>0</v>
      </c>
    </row>
    <row r="57" spans="1:26" ht="12.75" customHeight="1" x14ac:dyDescent="0.2">
      <c r="A57" s="448" t="s">
        <v>242</v>
      </c>
      <c r="B57" s="449"/>
      <c r="C57" s="449"/>
      <c r="D57" s="450"/>
      <c r="E57" s="518"/>
      <c r="F57" s="518"/>
      <c r="G57" s="450"/>
      <c r="H57" s="451"/>
      <c r="I57" s="452">
        <f ca="1">ROUND(IF(SUM(H39:H40)&gt;=0,0,VLOOKUP($P$3,'[1]Mit-1'!$A$5:$AC$19,20,FALSE)/[1]Firma!$C$24*IF(R9=0,T9,R9)),2)</f>
        <v>0</v>
      </c>
      <c r="J57" s="569"/>
      <c r="K57" s="570"/>
      <c r="L57" s="570"/>
      <c r="M57" s="570"/>
      <c r="N57" s="570"/>
      <c r="O57" s="571"/>
      <c r="P57" s="3"/>
      <c r="Q57" s="78">
        <f>[1]Tab!A10</f>
        <v>28000.01</v>
      </c>
      <c r="R57" s="74">
        <f>[1]Tab!D10</f>
        <v>50000</v>
      </c>
      <c r="S57" s="75">
        <f>S46</f>
        <v>0.35</v>
      </c>
      <c r="T57" s="76">
        <f>ROUND((R57-Q57)*S57+T56,2)</f>
        <v>14140</v>
      </c>
      <c r="U57" s="76">
        <f>ROUND(IF(AND($C$52&lt;=R57,$C$52&gt;=Q57),T56+($C$52-R56)*S57,0),2)</f>
        <v>0</v>
      </c>
      <c r="V57" s="3"/>
      <c r="W57" s="3"/>
      <c r="X57" s="3"/>
      <c r="Y57" s="3"/>
      <c r="Z57" s="3"/>
    </row>
    <row r="58" spans="1:26" ht="12.75" customHeight="1" x14ac:dyDescent="0.2">
      <c r="A58" s="465"/>
      <c r="B58" s="466"/>
      <c r="C58" s="466"/>
      <c r="D58" s="467"/>
      <c r="E58" s="519"/>
      <c r="F58" s="519"/>
      <c r="G58" s="467"/>
      <c r="H58" s="468"/>
      <c r="I58" s="469"/>
      <c r="J58" s="402"/>
      <c r="K58" s="401"/>
      <c r="L58" s="401"/>
      <c r="M58" s="401"/>
      <c r="N58" s="572"/>
      <c r="O58" s="573"/>
      <c r="P58" s="3"/>
      <c r="Q58" s="78">
        <f>[1]Tab!A11</f>
        <v>50000.01</v>
      </c>
      <c r="R58" s="74">
        <f>[1]Tab!D11</f>
        <v>0</v>
      </c>
      <c r="S58" s="75">
        <f>S47</f>
        <v>0.43</v>
      </c>
      <c r="T58" s="76"/>
      <c r="U58" s="76">
        <f>ROUND(IF(AND($C$52&lt;=R58,$C$52&gt;=Q58),T57+($C$52-R57)*S58,0),2)</f>
        <v>0</v>
      </c>
      <c r="V58" s="3"/>
      <c r="W58" s="3"/>
      <c r="X58" s="3"/>
      <c r="Y58" s="3"/>
      <c r="Z58" s="3"/>
    </row>
    <row r="59" spans="1:26" ht="12" customHeight="1" x14ac:dyDescent="0.2">
      <c r="A59" s="106" t="s">
        <v>123</v>
      </c>
      <c r="B59" s="8"/>
      <c r="C59" s="49"/>
      <c r="D59" s="117" t="s">
        <v>41</v>
      </c>
      <c r="E59" s="576">
        <f>-'01'!H59</f>
        <v>0</v>
      </c>
      <c r="F59" s="577"/>
      <c r="G59" s="117" t="s">
        <v>42</v>
      </c>
      <c r="H59" s="145">
        <f>IF(I29=0,0,SUM(I60-Q61))</f>
        <v>0</v>
      </c>
      <c r="I59" s="399">
        <f>IF(I29=0,0,SUM(E59,H59))</f>
        <v>0</v>
      </c>
      <c r="J59" s="402"/>
      <c r="K59" s="401"/>
      <c r="L59" s="401"/>
      <c r="M59" s="401"/>
      <c r="N59" s="572"/>
      <c r="O59" s="573"/>
      <c r="P59" s="3"/>
      <c r="Q59" s="78">
        <f>[1]Tab!A12</f>
        <v>0</v>
      </c>
      <c r="R59" s="74"/>
      <c r="S59" s="75">
        <f>S48</f>
        <v>0</v>
      </c>
      <c r="T59" s="77"/>
      <c r="U59" s="76">
        <f>ROUND(IF($C$52&gt;R58,T58+($C$52-R58)*S59,0),2)</f>
        <v>0</v>
      </c>
      <c r="V59" s="3"/>
      <c r="W59" s="3"/>
      <c r="X59" s="3"/>
      <c r="Y59" s="3"/>
      <c r="Z59" s="3"/>
    </row>
    <row r="60" spans="1:26" ht="12" customHeight="1" x14ac:dyDescent="0.2">
      <c r="A60" s="319" t="s">
        <v>43</v>
      </c>
      <c r="B60" s="320"/>
      <c r="C60" s="320"/>
      <c r="D60" s="320"/>
      <c r="E60" s="320"/>
      <c r="F60" s="320"/>
      <c r="G60" s="320"/>
      <c r="H60" s="320"/>
      <c r="I60" s="400">
        <f>IF(I29=0,0,ROUNDUP(Q61,0))</f>
        <v>0</v>
      </c>
      <c r="J60" s="403"/>
      <c r="K60" s="404"/>
      <c r="L60" s="404"/>
      <c r="M60" s="404"/>
      <c r="N60" s="566"/>
      <c r="O60" s="567"/>
      <c r="P60" s="6"/>
      <c r="Q60" s="208" t="s">
        <v>8</v>
      </c>
      <c r="R60" s="209"/>
      <c r="S60" s="79"/>
      <c r="T60" s="64"/>
      <c r="U60" s="80">
        <f>ROUND(SUM(U55:U59),2)</f>
        <v>0</v>
      </c>
      <c r="V60" s="6"/>
      <c r="W60" s="6"/>
      <c r="X60" s="6"/>
      <c r="Y60" s="6"/>
      <c r="Z60" s="6"/>
    </row>
    <row r="61" spans="1:26" ht="15" customHeight="1" x14ac:dyDescent="0.2">
      <c r="A61" s="1"/>
      <c r="B61" s="1"/>
      <c r="C61" s="1"/>
      <c r="D61" s="1"/>
      <c r="E61" s="1"/>
      <c r="F61" s="1"/>
      <c r="G61" s="1"/>
      <c r="H61" s="1"/>
      <c r="I61" s="1"/>
      <c r="K61" s="1"/>
      <c r="L61" s="1"/>
      <c r="M61" s="1"/>
      <c r="Q61" s="142">
        <f ca="1">SUM(I53:I58,E59)</f>
        <v>0</v>
      </c>
    </row>
    <row r="62" spans="1:26" x14ac:dyDescent="0.2">
      <c r="Q62" s="142"/>
    </row>
    <row r="63" spans="1:26" ht="15.75" customHeight="1" x14ac:dyDescent="0.2">
      <c r="Q63" s="142"/>
    </row>
    <row r="64" spans="1:26" x14ac:dyDescent="0.2">
      <c r="A64" s="71" t="str">
        <f>'[1]Beschr-Descr.'!A1</f>
        <v xml:space="preserve">Beschreibung Lohnelemente  </v>
      </c>
      <c r="Q64" s="142"/>
    </row>
    <row r="65" spans="1:6" x14ac:dyDescent="0.2">
      <c r="A65" s="71" t="str">
        <f>'[1]Beschr-Descr.'!A2</f>
        <v>Descrizione elementi di retribuzione</v>
      </c>
      <c r="F65" s="71" t="s">
        <v>3</v>
      </c>
    </row>
    <row r="66" spans="1:6" x14ac:dyDescent="0.2">
      <c r="A66" s="84">
        <f>'[1]Beschr-Descr.'!A3</f>
        <v>0</v>
      </c>
      <c r="B66" s="84">
        <f>'[1]Beschr-Descr.'!B3</f>
        <v>0</v>
      </c>
      <c r="C66" s="84">
        <f>'[1]Beschr-Descr.'!C3</f>
        <v>0</v>
      </c>
      <c r="D66" s="84">
        <f>'[1]Beschr-Descr.'!D3</f>
        <v>0</v>
      </c>
      <c r="E66" s="84">
        <f>'[1]Beschr-Descr.'!E3</f>
        <v>0</v>
      </c>
    </row>
    <row r="67" spans="1:6" x14ac:dyDescent="0.2">
      <c r="A67" s="84" t="str">
        <f>'[1]Beschr-Descr.'!A4</f>
        <v>Normalentlohnung</v>
      </c>
      <c r="B67" s="84"/>
      <c r="C67" s="84">
        <f>'[1]Beschr-Descr.'!C4</f>
        <v>0</v>
      </c>
      <c r="D67" s="84">
        <f>'[1]Beschr-Descr.'!D4</f>
        <v>0</v>
      </c>
      <c r="E67" s="207">
        <f>'[1]Beschr-Descr.'!E4</f>
        <v>0</v>
      </c>
      <c r="F67" t="s">
        <v>44</v>
      </c>
    </row>
    <row r="68" spans="1:6" x14ac:dyDescent="0.2">
      <c r="A68" s="84" t="str">
        <f>'[1]Beschr-Descr.'!A5</f>
        <v>Genossener Urlaub</v>
      </c>
      <c r="B68" s="84"/>
      <c r="C68" s="84">
        <f>'[1]Beschr-Descr.'!C5</f>
        <v>0</v>
      </c>
      <c r="D68" s="84">
        <f>'[1]Beschr-Descr.'!D5</f>
        <v>0</v>
      </c>
      <c r="E68" s="207">
        <f>'[1]Beschr-Descr.'!E5</f>
        <v>0</v>
      </c>
      <c r="F68" t="s">
        <v>45</v>
      </c>
    </row>
    <row r="69" spans="1:6" x14ac:dyDescent="0.2">
      <c r="A69" s="84" t="str">
        <f>'[1]Beschr-Descr.'!A6</f>
        <v>Genossene Freistellungen</v>
      </c>
      <c r="B69" s="84"/>
      <c r="C69" s="84">
        <f>'[1]Beschr-Descr.'!C6</f>
        <v>0</v>
      </c>
      <c r="D69" s="84">
        <f>'[1]Beschr-Descr.'!D6</f>
        <v>0</v>
      </c>
      <c r="E69" s="207">
        <f>'[1]Beschr-Descr.'!E6</f>
        <v>0</v>
      </c>
      <c r="F69" t="s">
        <v>46</v>
      </c>
    </row>
    <row r="70" spans="1:6" x14ac:dyDescent="0.2">
      <c r="A70" s="84" t="str">
        <f>'[1]Beschr-Descr.'!A7</f>
        <v>Nicht genossener Urlaub</v>
      </c>
      <c r="B70" s="84"/>
      <c r="C70" s="84">
        <f>'[1]Beschr-Descr.'!C7</f>
        <v>0</v>
      </c>
      <c r="D70" s="84">
        <f>'[1]Beschr-Descr.'!D7</f>
        <v>0</v>
      </c>
      <c r="E70" s="207">
        <f>'[1]Beschr-Descr.'!E7</f>
        <v>0</v>
      </c>
    </row>
    <row r="71" spans="1:6" x14ac:dyDescent="0.2">
      <c r="A71" s="84" t="str">
        <f>'[1]Beschr-Descr.'!A8</f>
        <v>Nicht genossene Freistellungen</v>
      </c>
      <c r="B71" s="84"/>
      <c r="C71" s="84">
        <f>'[1]Beschr-Descr.'!C8</f>
        <v>0</v>
      </c>
      <c r="D71" s="84">
        <f>'[1]Beschr-Descr.'!D8</f>
        <v>0</v>
      </c>
      <c r="E71" s="207">
        <f>'[1]Beschr-Descr.'!E8</f>
        <v>0</v>
      </c>
    </row>
    <row r="72" spans="1:6" x14ac:dyDescent="0.2">
      <c r="A72" s="84" t="str">
        <f>'[1]Beschr-Descr.'!A9</f>
        <v>Nicht genossene Feiertage</v>
      </c>
      <c r="B72" s="84"/>
      <c r="C72" s="84">
        <f>'[1]Beschr-Descr.'!C9</f>
        <v>0</v>
      </c>
      <c r="D72" s="84">
        <f>'[1]Beschr-Descr.'!D9</f>
        <v>0</v>
      </c>
      <c r="E72" s="207">
        <f>'[1]Beschr-Descr.'!E9</f>
        <v>0</v>
      </c>
    </row>
    <row r="73" spans="1:6" x14ac:dyDescent="0.2">
      <c r="A73" s="84" t="str">
        <f>'[1]Beschr-Descr.'!A10</f>
        <v>Zulage für Kassarisiko</v>
      </c>
      <c r="B73" s="84"/>
      <c r="C73" s="84">
        <f>'[1]Beschr-Descr.'!C10</f>
        <v>0</v>
      </c>
      <c r="D73" s="84">
        <f>'[1]Beschr-Descr.'!D10</f>
        <v>0</v>
      </c>
      <c r="E73" s="207">
        <f>'[1]Beschr-Descr.'!E10</f>
        <v>0</v>
      </c>
    </row>
    <row r="74" spans="1:6" x14ac:dyDescent="0.2">
      <c r="A74" s="84">
        <f>'[1]Beschr-Descr.'!A11</f>
        <v>0</v>
      </c>
      <c r="B74" s="84"/>
      <c r="C74" s="84">
        <f>'[1]Beschr-Descr.'!C11</f>
        <v>0</v>
      </c>
      <c r="D74" s="84">
        <f>'[1]Beschr-Descr.'!D11</f>
        <v>0</v>
      </c>
      <c r="E74" s="207">
        <f>'[1]Beschr-Descr.'!E11</f>
        <v>0</v>
      </c>
    </row>
    <row r="75" spans="1:6" x14ac:dyDescent="0.2">
      <c r="A75" s="84" t="str">
        <f>'[1]Beschr-Descr.'!A12</f>
        <v xml:space="preserve">Überstunden 15%  </v>
      </c>
      <c r="B75" s="84"/>
      <c r="C75" s="84">
        <f>'[1]Beschr-Descr.'!C12</f>
        <v>0</v>
      </c>
      <c r="D75" s="84">
        <f>'[1]Beschr-Descr.'!D12</f>
        <v>0</v>
      </c>
      <c r="E75" s="207">
        <f>'[1]Beschr-Descr.'!E12</f>
        <v>0.15</v>
      </c>
    </row>
    <row r="76" spans="1:6" x14ac:dyDescent="0.2">
      <c r="A76" s="84" t="str">
        <f>'[1]Beschr-Descr.'!A13</f>
        <v xml:space="preserve">Überstunden 20%  </v>
      </c>
      <c r="B76" s="84"/>
      <c r="C76" s="84">
        <f>'[1]Beschr-Descr.'!C13</f>
        <v>0</v>
      </c>
      <c r="D76" s="84">
        <f>'[1]Beschr-Descr.'!D13</f>
        <v>0</v>
      </c>
      <c r="E76" s="207">
        <f>'[1]Beschr-Descr.'!E13</f>
        <v>0.2</v>
      </c>
    </row>
    <row r="77" spans="1:6" x14ac:dyDescent="0.2">
      <c r="A77" s="84" t="str">
        <f>'[1]Beschr-Descr.'!A14</f>
        <v xml:space="preserve">Überstunden 30%  </v>
      </c>
      <c r="B77" s="84"/>
      <c r="C77" s="84">
        <f>'[1]Beschr-Descr.'!C14</f>
        <v>0</v>
      </c>
      <c r="D77" s="84">
        <f>'[1]Beschr-Descr.'!D14</f>
        <v>0</v>
      </c>
      <c r="E77" s="207">
        <f>'[1]Beschr-Descr.'!E14</f>
        <v>0.3</v>
      </c>
    </row>
    <row r="78" spans="1:6" x14ac:dyDescent="0.2">
      <c r="A78" s="84" t="str">
        <f>'[1]Beschr-Descr.'!A15</f>
        <v xml:space="preserve">Überstunden 50%  </v>
      </c>
      <c r="B78" s="84"/>
      <c r="C78" s="84">
        <f>'[1]Beschr-Descr.'!C15</f>
        <v>0</v>
      </c>
      <c r="D78" s="84">
        <f>'[1]Beschr-Descr.'!D15</f>
        <v>0</v>
      </c>
      <c r="E78" s="207">
        <f>'[1]Beschr-Descr.'!E15</f>
        <v>0.5</v>
      </c>
    </row>
    <row r="79" spans="1:6" x14ac:dyDescent="0.2">
      <c r="A79" s="84" t="str">
        <f>'[1]Beschr-Descr.'!A16</f>
        <v>Nachtstunden 50%</v>
      </c>
      <c r="B79" s="84"/>
      <c r="C79" s="84">
        <f>'[1]Beschr-Descr.'!C16</f>
        <v>0</v>
      </c>
      <c r="D79" s="84">
        <f>'[1]Beschr-Descr.'!D16</f>
        <v>0</v>
      </c>
      <c r="E79" s="207">
        <f>'[1]Beschr-Descr.'!E16</f>
        <v>0.5</v>
      </c>
    </row>
    <row r="80" spans="1:6" x14ac:dyDescent="0.2">
      <c r="A80" s="84">
        <f>'[1]Beschr-Descr.'!A17</f>
        <v>0</v>
      </c>
      <c r="B80" s="84"/>
      <c r="C80" s="84">
        <f>'[1]Beschr-Descr.'!C17</f>
        <v>0</v>
      </c>
      <c r="D80" s="84">
        <f>'[1]Beschr-Descr.'!D17</f>
        <v>0</v>
      </c>
      <c r="E80" s="207">
        <f>'[1]Beschr-Descr.'!E17</f>
        <v>0</v>
      </c>
    </row>
    <row r="81" spans="1:5" x14ac:dyDescent="0.2">
      <c r="A81" s="84" t="str">
        <f>'[1]Beschr-Descr.'!A18</f>
        <v>Krankheit gesamt</v>
      </c>
      <c r="B81" s="84"/>
      <c r="C81" s="84">
        <f>'[1]Beschr-Descr.'!C18</f>
        <v>0</v>
      </c>
      <c r="D81" s="84">
        <f>'[1]Beschr-Descr.'!D18</f>
        <v>0</v>
      </c>
      <c r="E81" s="207">
        <f>'[1]Beschr-Descr.'!E18</f>
        <v>0</v>
      </c>
    </row>
    <row r="82" spans="1:5" x14ac:dyDescent="0.2">
      <c r="A82" s="84" t="str">
        <f>'[1]Beschr-Descr.'!A19</f>
        <v xml:space="preserve">Krankheit INPS-Anteil 50,00% </v>
      </c>
      <c r="B82" s="84"/>
      <c r="C82" s="84">
        <f>'[1]Beschr-Descr.'!C19</f>
        <v>0</v>
      </c>
      <c r="D82" s="84">
        <f>'[1]Beschr-Descr.'!D19</f>
        <v>0</v>
      </c>
      <c r="E82" s="207">
        <f>'[1]Beschr-Descr.'!E19</f>
        <v>-0.5</v>
      </c>
    </row>
    <row r="83" spans="1:5" x14ac:dyDescent="0.2">
      <c r="A83" s="84" t="str">
        <f>'[1]Beschr-Descr.'!A20</f>
        <v xml:space="preserve">Krankheit INPS-Anteil 66,67% </v>
      </c>
      <c r="B83" s="84"/>
      <c r="C83" s="84">
        <f>'[1]Beschr-Descr.'!C20</f>
        <v>0</v>
      </c>
      <c r="D83" s="84">
        <f>'[1]Beschr-Descr.'!D20</f>
        <v>0</v>
      </c>
      <c r="E83" s="207">
        <f>'[1]Beschr-Descr.'!E20</f>
        <v>-0.66669999999999996</v>
      </c>
    </row>
    <row r="84" spans="1:5" x14ac:dyDescent="0.2">
      <c r="A84" s="84" t="str">
        <f>'[1]Beschr-Descr.'!A21</f>
        <v>Mutterschaft Gesamtbetrag</v>
      </c>
      <c r="B84" s="84"/>
      <c r="C84" s="84">
        <f>'[1]Beschr-Descr.'!C21</f>
        <v>0</v>
      </c>
      <c r="D84" s="84">
        <f>'[1]Beschr-Descr.'!D21</f>
        <v>0</v>
      </c>
      <c r="E84" s="207">
        <f>'[1]Beschr-Descr.'!E21</f>
        <v>0</v>
      </c>
    </row>
    <row r="85" spans="1:5" x14ac:dyDescent="0.2">
      <c r="A85" s="84" t="str">
        <f>'[1]Beschr-Descr.'!A22</f>
        <v>Mutterschaft INPS-Anteil 80,00%</v>
      </c>
      <c r="B85" s="84"/>
      <c r="C85" s="84">
        <f>'[1]Beschr-Descr.'!C22</f>
        <v>0</v>
      </c>
      <c r="D85" s="84">
        <f>'[1]Beschr-Descr.'!D22</f>
        <v>0</v>
      </c>
      <c r="E85" s="207">
        <f>'[1]Beschr-Descr.'!E22</f>
        <v>-0.8</v>
      </c>
    </row>
    <row r="86" spans="1:5" x14ac:dyDescent="0.2">
      <c r="A86" s="84" t="str">
        <f>'[1]Beschr-Descr.'!A23</f>
        <v>Abzug Bruttoberechnung Krankengeld INPS</v>
      </c>
      <c r="B86" s="84"/>
      <c r="C86" s="84">
        <f>'[1]Beschr-Descr.'!C23</f>
        <v>0</v>
      </c>
      <c r="D86" s="84">
        <f>'[1]Beschr-Descr.'!D23</f>
        <v>0</v>
      </c>
      <c r="E86" s="207">
        <f>'[1]Beschr-Descr.'!E23</f>
        <v>0.10120030833608633</v>
      </c>
    </row>
    <row r="87" spans="1:5" x14ac:dyDescent="0.2">
      <c r="A87" s="84">
        <f>'[1]Beschr-Descr.'!A24</f>
        <v>0</v>
      </c>
      <c r="B87" s="84"/>
      <c r="C87" s="84">
        <f>'[1]Beschr-Descr.'!C24</f>
        <v>0</v>
      </c>
      <c r="D87" s="84">
        <f>'[1]Beschr-Descr.'!D24</f>
        <v>0</v>
      </c>
      <c r="E87" s="207">
        <f>'[1]Beschr-Descr.'!E24</f>
        <v>0</v>
      </c>
    </row>
    <row r="88" spans="1:5" x14ac:dyDescent="0.2">
      <c r="A88" s="84" t="str">
        <f>'[1]Beschr-Descr.'!A25</f>
        <v xml:space="preserve">13. Monatsgehalt  </v>
      </c>
      <c r="B88" s="84"/>
      <c r="C88" s="84">
        <f>'[1]Beschr-Descr.'!C25</f>
        <v>0</v>
      </c>
      <c r="D88" s="84">
        <f>'[1]Beschr-Descr.'!D25</f>
        <v>0</v>
      </c>
      <c r="E88" s="207">
        <f>'[1]Beschr-Descr.'!E25</f>
        <v>0</v>
      </c>
    </row>
    <row r="89" spans="1:5" x14ac:dyDescent="0.2">
      <c r="A89" s="84" t="str">
        <f>'[1]Beschr-Descr.'!A26</f>
        <v xml:space="preserve">14. Monatsgehalt  </v>
      </c>
      <c r="B89" s="84"/>
      <c r="C89" s="84">
        <f>'[1]Beschr-Descr.'!C26</f>
        <v>0</v>
      </c>
      <c r="D89" s="84">
        <f>'[1]Beschr-Descr.'!D26</f>
        <v>0</v>
      </c>
      <c r="E89" s="207">
        <f>'[1]Beschr-Descr.'!E26</f>
        <v>0</v>
      </c>
    </row>
    <row r="90" spans="1:5" x14ac:dyDescent="0.2">
      <c r="A90" s="84" t="str">
        <f>'[1]Beschr-Descr.'!A27</f>
        <v xml:space="preserve">Nichteinhaltung Kündigungsfrist  </v>
      </c>
      <c r="B90" s="84"/>
      <c r="C90" s="84">
        <f>'[1]Beschr-Descr.'!C27</f>
        <v>0</v>
      </c>
      <c r="D90" s="84">
        <f>'[1]Beschr-Descr.'!D27</f>
        <v>0</v>
      </c>
      <c r="E90" s="207">
        <f>'[1]Beschr-Descr.'!E27</f>
        <v>0</v>
      </c>
    </row>
    <row r="91" spans="1:5" x14ac:dyDescent="0.2">
      <c r="A91" s="84" t="str">
        <f>'[1]Beschr-Descr.'!A28</f>
        <v>Una Tantum</v>
      </c>
      <c r="B91" s="84"/>
      <c r="C91" s="84">
        <f>'[1]Beschr-Descr.'!C28</f>
        <v>0</v>
      </c>
      <c r="D91" s="84">
        <f>'[1]Beschr-Descr.'!D28</f>
        <v>0</v>
      </c>
      <c r="E91" s="207">
        <f>'[1]Beschr-Descr.'!E28</f>
        <v>0</v>
      </c>
    </row>
    <row r="92" spans="1:5" x14ac:dyDescent="0.2">
      <c r="A92" s="84" t="str">
        <f>'[1]Beschr-Descr.'!A29</f>
        <v>Prämie</v>
      </c>
      <c r="B92" s="84"/>
      <c r="C92" s="84">
        <f>'[1]Beschr-Descr.'!C29</f>
        <v>0</v>
      </c>
      <c r="D92" s="84">
        <f>'[1]Beschr-Descr.'!D29</f>
        <v>0</v>
      </c>
      <c r="E92" s="207">
        <f>'[1]Beschr-Descr.'!E29</f>
        <v>0</v>
      </c>
    </row>
    <row r="93" spans="1:5" x14ac:dyDescent="0.2">
      <c r="A93" s="84">
        <f>'[1]Beschr-Descr.'!A30</f>
        <v>0</v>
      </c>
      <c r="B93" s="84"/>
      <c r="C93" s="84">
        <f>'[1]Beschr-Descr.'!C30</f>
        <v>0</v>
      </c>
      <c r="D93" s="84">
        <f>'[1]Beschr-Descr.'!D30</f>
        <v>0</v>
      </c>
      <c r="E93" s="207">
        <f>'[1]Beschr-Descr.'!E30</f>
        <v>0</v>
      </c>
    </row>
    <row r="94" spans="1:5" x14ac:dyDescent="0.2">
      <c r="A94" s="84">
        <f>'[1]Beschr-Descr.'!A31</f>
        <v>0</v>
      </c>
      <c r="B94" s="84"/>
      <c r="C94" s="84">
        <f>'[1]Beschr-Descr.'!C31</f>
        <v>0</v>
      </c>
      <c r="D94" s="84">
        <f>'[1]Beschr-Descr.'!D31</f>
        <v>0</v>
      </c>
      <c r="E94" s="207">
        <f>'[1]Beschr-Descr.'!E31</f>
        <v>0</v>
      </c>
    </row>
    <row r="95" spans="1:5" x14ac:dyDescent="0.2">
      <c r="A95" s="84" t="str">
        <f>'[1]Beschr-Descr.'!A32</f>
        <v xml:space="preserve">Retribuzione ordinaria </v>
      </c>
      <c r="B95" s="84"/>
      <c r="C95" s="84">
        <f>'[1]Beschr-Descr.'!C32</f>
        <v>0</v>
      </c>
      <c r="D95" s="84">
        <f>'[1]Beschr-Descr.'!D32</f>
        <v>0</v>
      </c>
      <c r="E95" s="207">
        <f>'[1]Beschr-Descr.'!E32</f>
        <v>0</v>
      </c>
    </row>
    <row r="96" spans="1:5" x14ac:dyDescent="0.2">
      <c r="A96" s="84" t="str">
        <f>'[1]Beschr-Descr.'!A33</f>
        <v>Ferie godute</v>
      </c>
      <c r="B96" s="84"/>
      <c r="C96" s="84">
        <f>'[1]Beschr-Descr.'!C33</f>
        <v>0</v>
      </c>
      <c r="D96" s="84">
        <f>'[1]Beschr-Descr.'!D33</f>
        <v>0</v>
      </c>
      <c r="E96" s="207">
        <f>'[1]Beschr-Descr.'!E33</f>
        <v>0</v>
      </c>
    </row>
    <row r="97" spans="1:5" x14ac:dyDescent="0.2">
      <c r="A97" s="84" t="str">
        <f>'[1]Beschr-Descr.'!A34</f>
        <v>Permessi goduti</v>
      </c>
      <c r="B97" s="84"/>
      <c r="C97" s="84">
        <f>'[1]Beschr-Descr.'!C34</f>
        <v>0</v>
      </c>
      <c r="D97" s="84">
        <f>'[1]Beschr-Descr.'!D34</f>
        <v>0</v>
      </c>
      <c r="E97" s="207">
        <f>'[1]Beschr-Descr.'!E34</f>
        <v>0</v>
      </c>
    </row>
    <row r="98" spans="1:5" x14ac:dyDescent="0.2">
      <c r="A98" s="84" t="str">
        <f>'[1]Beschr-Descr.'!A35</f>
        <v>Ferie non godute</v>
      </c>
      <c r="B98" s="84"/>
      <c r="C98" s="84">
        <f>'[1]Beschr-Descr.'!C35</f>
        <v>0</v>
      </c>
      <c r="D98" s="84">
        <f>'[1]Beschr-Descr.'!D35</f>
        <v>0</v>
      </c>
      <c r="E98" s="207">
        <f>'[1]Beschr-Descr.'!E35</f>
        <v>0</v>
      </c>
    </row>
    <row r="99" spans="1:5" x14ac:dyDescent="0.2">
      <c r="A99" s="84" t="str">
        <f>'[1]Beschr-Descr.'!A36</f>
        <v>Ferie non godute</v>
      </c>
      <c r="B99" s="84"/>
      <c r="C99" s="84">
        <f>'[1]Beschr-Descr.'!C36</f>
        <v>0</v>
      </c>
      <c r="D99" s="84">
        <f>'[1]Beschr-Descr.'!D36</f>
        <v>0</v>
      </c>
      <c r="E99" s="207">
        <f>'[1]Beschr-Descr.'!E36</f>
        <v>0</v>
      </c>
    </row>
    <row r="100" spans="1:5" x14ac:dyDescent="0.2">
      <c r="A100" s="84" t="str">
        <f>'[1]Beschr-Descr.'!A37</f>
        <v>Festività non godute</v>
      </c>
      <c r="B100" s="84"/>
      <c r="C100" s="84">
        <f>'[1]Beschr-Descr.'!C37</f>
        <v>0</v>
      </c>
      <c r="D100" s="84">
        <f>'[1]Beschr-Descr.'!D37</f>
        <v>0</v>
      </c>
      <c r="E100" s="207">
        <f>'[1]Beschr-Descr.'!E37</f>
        <v>0</v>
      </c>
    </row>
    <row r="101" spans="1:5" x14ac:dyDescent="0.2">
      <c r="A101" s="84" t="str">
        <f>'[1]Beschr-Descr.'!A38</f>
        <v>Indennità rischio cassa</v>
      </c>
      <c r="B101" s="84"/>
      <c r="C101" s="84">
        <f>'[1]Beschr-Descr.'!C38</f>
        <v>0</v>
      </c>
      <c r="D101" s="84">
        <f>'[1]Beschr-Descr.'!D38</f>
        <v>0</v>
      </c>
      <c r="E101" s="207">
        <f>'[1]Beschr-Descr.'!E38</f>
        <v>0</v>
      </c>
    </row>
    <row r="102" spans="1:5" x14ac:dyDescent="0.2">
      <c r="A102" s="84">
        <f>'[1]Beschr-Descr.'!A39</f>
        <v>0</v>
      </c>
      <c r="B102" s="84"/>
      <c r="C102" s="84">
        <f>'[1]Beschr-Descr.'!C39</f>
        <v>0</v>
      </c>
      <c r="D102" s="84">
        <f>'[1]Beschr-Descr.'!D39</f>
        <v>0</v>
      </c>
      <c r="E102" s="207">
        <f>'[1]Beschr-Descr.'!E39</f>
        <v>0</v>
      </c>
    </row>
    <row r="103" spans="1:5" x14ac:dyDescent="0.2">
      <c r="A103" s="84" t="str">
        <f>'[1]Beschr-Descr.'!A40</f>
        <v>Ore straordinarie 15%</v>
      </c>
      <c r="B103" s="84"/>
      <c r="C103" s="84">
        <f>'[1]Beschr-Descr.'!C40</f>
        <v>0</v>
      </c>
      <c r="D103" s="84">
        <f>'[1]Beschr-Descr.'!D40</f>
        <v>0</v>
      </c>
      <c r="E103" s="207">
        <f>'[1]Beschr-Descr.'!E40</f>
        <v>0.15</v>
      </c>
    </row>
    <row r="104" spans="1:5" x14ac:dyDescent="0.2">
      <c r="A104" s="84" t="str">
        <f>'[1]Beschr-Descr.'!A41</f>
        <v>Ore straordinarie 20%</v>
      </c>
      <c r="B104" s="84"/>
      <c r="C104" s="84">
        <f>'[1]Beschr-Descr.'!C41</f>
        <v>0</v>
      </c>
      <c r="D104" s="84">
        <f>'[1]Beschr-Descr.'!D41</f>
        <v>0</v>
      </c>
      <c r="E104" s="207">
        <f>'[1]Beschr-Descr.'!E41</f>
        <v>0.2</v>
      </c>
    </row>
    <row r="105" spans="1:5" x14ac:dyDescent="0.2">
      <c r="A105" s="84" t="str">
        <f>'[1]Beschr-Descr.'!A42</f>
        <v>Ore straordinarie 30%</v>
      </c>
      <c r="B105" s="84"/>
      <c r="C105" s="84">
        <f>'[1]Beschr-Descr.'!C42</f>
        <v>0</v>
      </c>
      <c r="D105" s="84">
        <f>'[1]Beschr-Descr.'!D42</f>
        <v>0</v>
      </c>
      <c r="E105" s="207">
        <f>'[1]Beschr-Descr.'!E42</f>
        <v>0.3</v>
      </c>
    </row>
    <row r="106" spans="1:5" x14ac:dyDescent="0.2">
      <c r="A106" s="84" t="str">
        <f>'[1]Beschr-Descr.'!A43</f>
        <v>Ore straordinarie 50%</v>
      </c>
      <c r="B106" s="84"/>
      <c r="C106" s="84">
        <f>'[1]Beschr-Descr.'!C43</f>
        <v>0</v>
      </c>
      <c r="D106" s="84">
        <f>'[1]Beschr-Descr.'!D43</f>
        <v>0</v>
      </c>
      <c r="E106" s="207">
        <f>'[1]Beschr-Descr.'!E43</f>
        <v>0.5</v>
      </c>
    </row>
    <row r="107" spans="1:5" x14ac:dyDescent="0.2">
      <c r="A107" s="84" t="str">
        <f>'[1]Beschr-Descr.'!A44</f>
        <v>Ore notturne 50%</v>
      </c>
      <c r="B107" s="84"/>
      <c r="C107" s="84">
        <f>'[1]Beschr-Descr.'!C44</f>
        <v>0</v>
      </c>
      <c r="D107" s="84">
        <f>'[1]Beschr-Descr.'!D44</f>
        <v>0</v>
      </c>
      <c r="E107" s="207">
        <f>'[1]Beschr-Descr.'!E44</f>
        <v>0.5</v>
      </c>
    </row>
    <row r="108" spans="1:5" x14ac:dyDescent="0.2">
      <c r="A108" s="84">
        <f>'[1]Beschr-Descr.'!A45</f>
        <v>0</v>
      </c>
      <c r="B108" s="84"/>
      <c r="C108" s="84">
        <f>'[1]Beschr-Descr.'!C45</f>
        <v>0</v>
      </c>
      <c r="D108" s="84">
        <f>'[1]Beschr-Descr.'!D45</f>
        <v>0</v>
      </c>
      <c r="E108" s="207">
        <f>'[1]Beschr-Descr.'!E45</f>
        <v>0</v>
      </c>
    </row>
    <row r="109" spans="1:5" x14ac:dyDescent="0.2">
      <c r="A109" s="84" t="str">
        <f>'[1]Beschr-Descr.'!A46</f>
        <v>Indennità di malattia totale</v>
      </c>
      <c r="B109" s="84"/>
      <c r="C109" s="84">
        <f>'[1]Beschr-Descr.'!C46</f>
        <v>0</v>
      </c>
      <c r="D109" s="84">
        <f>'[1]Beschr-Descr.'!D46</f>
        <v>0</v>
      </c>
      <c r="E109" s="207">
        <f>'[1]Beschr-Descr.'!E46</f>
        <v>0</v>
      </c>
    </row>
    <row r="110" spans="1:5" x14ac:dyDescent="0.2">
      <c r="A110" s="84" t="str">
        <f>'[1]Beschr-Descr.'!A47</f>
        <v>Indennità di malattia quota INPS 50%</v>
      </c>
      <c r="B110" s="84"/>
      <c r="C110" s="84">
        <f>'[1]Beschr-Descr.'!C47</f>
        <v>0</v>
      </c>
      <c r="D110" s="84">
        <f>'[1]Beschr-Descr.'!D47</f>
        <v>0</v>
      </c>
      <c r="E110" s="207">
        <f>'[1]Beschr-Descr.'!E47</f>
        <v>-0.5</v>
      </c>
    </row>
    <row r="111" spans="1:5" x14ac:dyDescent="0.2">
      <c r="A111" s="84" t="str">
        <f>'[1]Beschr-Descr.'!A48</f>
        <v>Indennità di malattia quota INPS 66,67%</v>
      </c>
      <c r="B111" s="84"/>
      <c r="C111" s="84">
        <f>'[1]Beschr-Descr.'!C48</f>
        <v>0</v>
      </c>
      <c r="D111" s="84">
        <f>'[1]Beschr-Descr.'!D48</f>
        <v>0</v>
      </c>
      <c r="E111" s="207">
        <f>'[1]Beschr-Descr.'!E48</f>
        <v>-0.66669999999999996</v>
      </c>
    </row>
    <row r="112" spans="1:5" x14ac:dyDescent="0.2">
      <c r="A112" s="84" t="str">
        <f>'[1]Beschr-Descr.'!A49</f>
        <v>Indennità di maternità importo totale</v>
      </c>
      <c r="B112" s="84"/>
      <c r="C112" s="84">
        <f>'[1]Beschr-Descr.'!C49</f>
        <v>0</v>
      </c>
      <c r="D112" s="84">
        <f>'[1]Beschr-Descr.'!D49</f>
        <v>0</v>
      </c>
      <c r="E112" s="207">
        <f>'[1]Beschr-Descr.'!E49</f>
        <v>0</v>
      </c>
    </row>
    <row r="113" spans="1:5" x14ac:dyDescent="0.2">
      <c r="A113" s="84" t="str">
        <f>'[1]Beschr-Descr.'!A50</f>
        <v>Indennità di maternità quota INPS 80,00%</v>
      </c>
      <c r="B113" s="84"/>
      <c r="C113" s="84">
        <f>'[1]Beschr-Descr.'!C50</f>
        <v>0</v>
      </c>
      <c r="D113" s="84">
        <f>'[1]Beschr-Descr.'!D50</f>
        <v>0</v>
      </c>
      <c r="E113" s="207">
        <f>'[1]Beschr-Descr.'!E50</f>
        <v>-0.8</v>
      </c>
    </row>
    <row r="114" spans="1:5" x14ac:dyDescent="0.2">
      <c r="A114" s="84" t="str">
        <f>'[1]Beschr-Descr.'!A51</f>
        <v>Lordizzazione indennità malattia quota INPS</v>
      </c>
      <c r="B114" s="84"/>
      <c r="C114" s="84">
        <f>'[1]Beschr-Descr.'!C51</f>
        <v>0</v>
      </c>
      <c r="D114" s="84">
        <f>'[1]Beschr-Descr.'!D51</f>
        <v>0</v>
      </c>
      <c r="E114" s="207">
        <f>'[1]Beschr-Descr.'!E51</f>
        <v>0.1012</v>
      </c>
    </row>
    <row r="115" spans="1:5" x14ac:dyDescent="0.2">
      <c r="A115" s="84">
        <f>'[1]Beschr-Descr.'!A52</f>
        <v>0</v>
      </c>
      <c r="B115" s="84"/>
      <c r="C115" s="84">
        <f>'[1]Beschr-Descr.'!C52</f>
        <v>0</v>
      </c>
      <c r="D115" s="84">
        <f>'[1]Beschr-Descr.'!D52</f>
        <v>0</v>
      </c>
      <c r="E115" s="207">
        <f>'[1]Beschr-Descr.'!E52</f>
        <v>0</v>
      </c>
    </row>
    <row r="116" spans="1:5" x14ac:dyDescent="0.2">
      <c r="A116" s="84" t="str">
        <f>'[1]Beschr-Descr.'!A53</f>
        <v>13a mensilità</v>
      </c>
      <c r="B116" s="84"/>
      <c r="C116" s="84">
        <f>'[1]Beschr-Descr.'!C53</f>
        <v>0</v>
      </c>
      <c r="D116" s="84">
        <f>'[1]Beschr-Descr.'!D53</f>
        <v>0</v>
      </c>
      <c r="E116" s="207">
        <f>'[1]Beschr-Descr.'!E53</f>
        <v>0</v>
      </c>
    </row>
    <row r="117" spans="1:5" x14ac:dyDescent="0.2">
      <c r="A117" s="84" t="str">
        <f>'[1]Beschr-Descr.'!A54</f>
        <v>14a mensilità</v>
      </c>
      <c r="B117" s="84"/>
      <c r="C117" s="84">
        <f>'[1]Beschr-Descr.'!C54</f>
        <v>0</v>
      </c>
      <c r="D117" s="84">
        <f>'[1]Beschr-Descr.'!D54</f>
        <v>0</v>
      </c>
      <c r="E117" s="207">
        <f>'[1]Beschr-Descr.'!E54</f>
        <v>0</v>
      </c>
    </row>
    <row r="118" spans="1:5" x14ac:dyDescent="0.2">
      <c r="A118" s="84" t="str">
        <f>'[1]Beschr-Descr.'!A55</f>
        <v>Mancato rispetto periodo preavviso licenziamento</v>
      </c>
      <c r="B118" s="84"/>
      <c r="C118" s="84">
        <f>'[1]Beschr-Descr.'!C55</f>
        <v>0</v>
      </c>
      <c r="D118" s="84">
        <f>'[1]Beschr-Descr.'!D55</f>
        <v>0</v>
      </c>
      <c r="E118" s="207">
        <f>'[1]Beschr-Descr.'!E55</f>
        <v>0</v>
      </c>
    </row>
    <row r="119" spans="1:5" x14ac:dyDescent="0.2">
      <c r="A119" s="84" t="str">
        <f>'[1]Beschr-Descr.'!A56</f>
        <v>Una Tantum</v>
      </c>
      <c r="B119" s="84"/>
      <c r="C119" s="84">
        <f>'[1]Beschr-Descr.'!C56</f>
        <v>0</v>
      </c>
      <c r="D119" s="84">
        <f>'[1]Beschr-Descr.'!D56</f>
        <v>0</v>
      </c>
      <c r="E119" s="207">
        <f>'[1]Beschr-Descr.'!E56</f>
        <v>0</v>
      </c>
    </row>
    <row r="120" spans="1:5" x14ac:dyDescent="0.2">
      <c r="A120" s="84" t="str">
        <f>'[1]Beschr-Descr.'!A57</f>
        <v>Premio</v>
      </c>
      <c r="B120" s="84"/>
      <c r="C120" s="84">
        <f>'[1]Beschr-Descr.'!C57</f>
        <v>0</v>
      </c>
      <c r="D120" s="84">
        <f>'[1]Beschr-Descr.'!D57</f>
        <v>0</v>
      </c>
      <c r="E120" s="207">
        <f>'[1]Beschr-Descr.'!E57</f>
        <v>0</v>
      </c>
    </row>
    <row r="121" spans="1:5" x14ac:dyDescent="0.2">
      <c r="A121" s="84">
        <f>'[1]Beschr-Descr.'!A58</f>
        <v>0</v>
      </c>
      <c r="B121" s="84"/>
      <c r="C121" s="84">
        <f>'[1]Beschr-Descr.'!C58</f>
        <v>0</v>
      </c>
      <c r="D121" s="84">
        <f>'[1]Beschr-Descr.'!D58</f>
        <v>0</v>
      </c>
      <c r="E121" s="207">
        <f>'[1]Beschr-Descr.'!E58</f>
        <v>0</v>
      </c>
    </row>
    <row r="122" spans="1:5" x14ac:dyDescent="0.2">
      <c r="A122">
        <f>'[1]Beschr-Descr.'!A63</f>
        <v>0</v>
      </c>
    </row>
    <row r="123" spans="1:5" x14ac:dyDescent="0.2">
      <c r="A123">
        <f>'[1]Beschr-Descr.'!A64</f>
        <v>0</v>
      </c>
    </row>
    <row r="124" spans="1:5" x14ac:dyDescent="0.2">
      <c r="A124">
        <f>'[1]Beschr-Descr.'!A65</f>
        <v>0</v>
      </c>
    </row>
    <row r="125" spans="1:5" x14ac:dyDescent="0.2">
      <c r="A125">
        <f>'[1]Beschr-Descr.'!A66</f>
        <v>0</v>
      </c>
    </row>
    <row r="126" spans="1:5" x14ac:dyDescent="0.2">
      <c r="A126">
        <f>'[1]Beschr-Descr.'!A67</f>
        <v>0</v>
      </c>
    </row>
    <row r="127" spans="1:5" x14ac:dyDescent="0.2">
      <c r="A127">
        <f>'[1]Beschr-Descr.'!A68</f>
        <v>0</v>
      </c>
    </row>
    <row r="128" spans="1:5" x14ac:dyDescent="0.2">
      <c r="A128">
        <f>'[1]Beschr-Descr.'!A69</f>
        <v>0</v>
      </c>
    </row>
    <row r="129" spans="1:1" x14ac:dyDescent="0.2">
      <c r="A129">
        <f>'[1]Beschr-Descr.'!A70</f>
        <v>0</v>
      </c>
    </row>
    <row r="130" spans="1:1" x14ac:dyDescent="0.2">
      <c r="A130">
        <f>'[1]Beschr-Descr.'!A71</f>
        <v>0</v>
      </c>
    </row>
    <row r="131" spans="1:1" x14ac:dyDescent="0.2">
      <c r="A131">
        <f>'[1]Beschr-Descr.'!A72</f>
        <v>0</v>
      </c>
    </row>
    <row r="132" spans="1:1" x14ac:dyDescent="0.2">
      <c r="A132">
        <f>'[1]Beschr-Descr.'!A73</f>
        <v>0</v>
      </c>
    </row>
    <row r="133" spans="1:1" x14ac:dyDescent="0.2">
      <c r="A133">
        <f>'[1]Beschr-Descr.'!A74</f>
        <v>0</v>
      </c>
    </row>
    <row r="134" spans="1:1" x14ac:dyDescent="0.2">
      <c r="A134">
        <f>'[1]Beschr-Descr.'!A75</f>
        <v>0</v>
      </c>
    </row>
    <row r="135" spans="1:1" x14ac:dyDescent="0.2">
      <c r="A135">
        <f>'[1]Beschr-Descr.'!A76</f>
        <v>0</v>
      </c>
    </row>
    <row r="136" spans="1:1" x14ac:dyDescent="0.2">
      <c r="A136">
        <f>'[1]Beschr-Descr.'!A77</f>
        <v>0</v>
      </c>
    </row>
    <row r="137" spans="1:1" x14ac:dyDescent="0.2">
      <c r="A137">
        <f>'[1]Beschr-Descr.'!A78</f>
        <v>0</v>
      </c>
    </row>
    <row r="138" spans="1:1" x14ac:dyDescent="0.2">
      <c r="A138">
        <f>'[1]Beschr-Descr.'!A79</f>
        <v>0</v>
      </c>
    </row>
    <row r="139" spans="1:1" x14ac:dyDescent="0.2">
      <c r="A139">
        <f>'[1]Beschr-Descr.'!A80</f>
        <v>0</v>
      </c>
    </row>
    <row r="140" spans="1:1" x14ac:dyDescent="0.2">
      <c r="A140">
        <f>'[1]Beschr-Descr.'!A81</f>
        <v>0</v>
      </c>
    </row>
    <row r="141" spans="1:1" x14ac:dyDescent="0.2">
      <c r="A141">
        <f>'[1]Beschr-Descr.'!A82</f>
        <v>0</v>
      </c>
    </row>
    <row r="142" spans="1:1" x14ac:dyDescent="0.2">
      <c r="A142">
        <f>'[1]Beschr-Descr.'!A83</f>
        <v>0</v>
      </c>
    </row>
    <row r="143" spans="1:1" x14ac:dyDescent="0.2">
      <c r="A143">
        <f>'[1]Beschr-Descr.'!A84</f>
        <v>0</v>
      </c>
    </row>
    <row r="144" spans="1:1" x14ac:dyDescent="0.2">
      <c r="A144">
        <f>'[1]Beschr-Descr.'!A85</f>
        <v>0</v>
      </c>
    </row>
    <row r="145" spans="1:1" x14ac:dyDescent="0.2">
      <c r="A145">
        <f>'[1]Beschr-Descr.'!A86</f>
        <v>0</v>
      </c>
    </row>
    <row r="146" spans="1:1" x14ac:dyDescent="0.2">
      <c r="A146">
        <f>'[1]Beschr-Descr.'!A87</f>
        <v>0</v>
      </c>
    </row>
    <row r="147" spans="1:1" x14ac:dyDescent="0.2">
      <c r="A147">
        <f>'[1]Beschr-Descr.'!A88</f>
        <v>0</v>
      </c>
    </row>
    <row r="148" spans="1:1" x14ac:dyDescent="0.2">
      <c r="A148">
        <f>'[1]Beschr-Descr.'!A89</f>
        <v>0</v>
      </c>
    </row>
    <row r="149" spans="1:1" x14ac:dyDescent="0.2">
      <c r="A149">
        <f>'[1]Beschr-Descr.'!A90</f>
        <v>0</v>
      </c>
    </row>
    <row r="150" spans="1:1" x14ac:dyDescent="0.2">
      <c r="A150">
        <f>'[1]Beschr-Descr.'!A91</f>
        <v>0</v>
      </c>
    </row>
    <row r="151" spans="1:1" x14ac:dyDescent="0.2">
      <c r="A151">
        <f>'[1]Beschr-Descr.'!A92</f>
        <v>0</v>
      </c>
    </row>
    <row r="152" spans="1:1" x14ac:dyDescent="0.2">
      <c r="A152">
        <f>'[1]Beschr-Descr.'!A93</f>
        <v>0</v>
      </c>
    </row>
    <row r="153" spans="1:1" x14ac:dyDescent="0.2">
      <c r="A153">
        <f>'[1]Beschr-Descr.'!A94</f>
        <v>0</v>
      </c>
    </row>
    <row r="154" spans="1:1" x14ac:dyDescent="0.2">
      <c r="A154">
        <f>'[1]Beschr-Descr.'!A95</f>
        <v>0</v>
      </c>
    </row>
    <row r="155" spans="1:1" x14ac:dyDescent="0.2">
      <c r="A155">
        <f>'[1]Beschr-Descr.'!A96</f>
        <v>0</v>
      </c>
    </row>
    <row r="156" spans="1:1" x14ac:dyDescent="0.2">
      <c r="A156">
        <f>'[1]Beschr-Descr.'!A97</f>
        <v>0</v>
      </c>
    </row>
    <row r="157" spans="1:1" x14ac:dyDescent="0.2">
      <c r="A157">
        <f>'[1]Beschr-Descr.'!A98</f>
        <v>0</v>
      </c>
    </row>
    <row r="158" spans="1:1" x14ac:dyDescent="0.2">
      <c r="A158">
        <f>'[1]Beschr-Descr.'!A99</f>
        <v>0</v>
      </c>
    </row>
    <row r="159" spans="1:1" x14ac:dyDescent="0.2">
      <c r="A159">
        <f>'[1]Beschr-Descr.'!A100</f>
        <v>0</v>
      </c>
    </row>
    <row r="160" spans="1:1" x14ac:dyDescent="0.2">
      <c r="A160">
        <f>'[1]Beschr-Descr.'!A101</f>
        <v>0</v>
      </c>
    </row>
    <row r="161" spans="1:1" x14ac:dyDescent="0.2">
      <c r="A161">
        <f>'[1]Beschr-Descr.'!A102</f>
        <v>0</v>
      </c>
    </row>
  </sheetData>
  <mergeCells count="70">
    <mergeCell ref="N60:O60"/>
    <mergeCell ref="J54:O54"/>
    <mergeCell ref="J57:O57"/>
    <mergeCell ref="N55:O55"/>
    <mergeCell ref="N56:O56"/>
    <mergeCell ref="N58:O58"/>
    <mergeCell ref="N59:O59"/>
    <mergeCell ref="K50:K51"/>
    <mergeCell ref="M50:M51"/>
    <mergeCell ref="N50:N51"/>
    <mergeCell ref="U41:U43"/>
    <mergeCell ref="T41:T43"/>
    <mergeCell ref="S41:S43"/>
    <mergeCell ref="Q41:R42"/>
    <mergeCell ref="O50:O51"/>
    <mergeCell ref="L50:L51"/>
    <mergeCell ref="U53:U54"/>
    <mergeCell ref="S53:S54"/>
    <mergeCell ref="T53:T54"/>
    <mergeCell ref="E52:F52"/>
    <mergeCell ref="Q53:R53"/>
    <mergeCell ref="J52:O52"/>
    <mergeCell ref="E59:F59"/>
    <mergeCell ref="E54:F54"/>
    <mergeCell ref="E58:F58"/>
    <mergeCell ref="E44:F44"/>
    <mergeCell ref="E45:F45"/>
    <mergeCell ref="E56:F56"/>
    <mergeCell ref="E57:F57"/>
    <mergeCell ref="E55:F55"/>
    <mergeCell ref="E48:F48"/>
    <mergeCell ref="E49:F49"/>
    <mergeCell ref="E46:F46"/>
    <mergeCell ref="A19:C19"/>
    <mergeCell ref="E51:F51"/>
    <mergeCell ref="A20:C20"/>
    <mergeCell ref="A24:C24"/>
    <mergeCell ref="A25:C25"/>
    <mergeCell ref="A22:C22"/>
    <mergeCell ref="A27:C27"/>
    <mergeCell ref="A23:C23"/>
    <mergeCell ref="A26:C26"/>
    <mergeCell ref="E50:F50"/>
    <mergeCell ref="E47:F47"/>
    <mergeCell ref="A28:C28"/>
    <mergeCell ref="A21:C21"/>
    <mergeCell ref="E43:F43"/>
    <mergeCell ref="Q5:S6"/>
    <mergeCell ref="Q7:S8"/>
    <mergeCell ref="Q10:S11"/>
    <mergeCell ref="E16:F16"/>
    <mergeCell ref="E9:F9"/>
    <mergeCell ref="E11:F11"/>
    <mergeCell ref="E12:F12"/>
    <mergeCell ref="L10:L18"/>
    <mergeCell ref="J1:O1"/>
    <mergeCell ref="J8:O9"/>
    <mergeCell ref="J10:J18"/>
    <mergeCell ref="K10:K18"/>
    <mergeCell ref="M10:M18"/>
    <mergeCell ref="N10:N18"/>
    <mergeCell ref="O10:O18"/>
    <mergeCell ref="E3:F3"/>
    <mergeCell ref="E15:F15"/>
    <mergeCell ref="E13:F13"/>
    <mergeCell ref="E14:F14"/>
    <mergeCell ref="E18:F18"/>
    <mergeCell ref="E7:F7"/>
    <mergeCell ref="E5:F5"/>
    <mergeCell ref="E8:F8"/>
  </mergeCells>
  <phoneticPr fontId="2" type="noConversion"/>
  <dataValidations count="2">
    <dataValidation type="list" allowBlank="1" showInputMessage="1" showErrorMessage="1" sqref="E19:E28" xr:uid="{00000000-0002-0000-0100-000000000000}">
      <formula1>$F$67:$F$70</formula1>
    </dataValidation>
    <dataValidation type="list" allowBlank="1" showInputMessage="1" showErrorMessage="1" sqref="A19:C28" xr:uid="{00000000-0002-0000-0100-000001000000}">
      <formula1>$A$67:$A$149</formula1>
    </dataValidation>
  </dataValidations>
  <printOptions horizontalCentered="1" verticalCentered="1"/>
  <pageMargins left="0.19685039370078741" right="0.19685039370078741" top="0.39370078740157483" bottom="0.39370078740157483" header="0" footer="0.19685039370078741"/>
  <pageSetup paperSize="9" orientation="portrait" r:id="rId1"/>
  <headerFooter alignWithMargins="0">
    <oddFooter>&amp;C&amp;"Calibri,Standard"Lohnberechnung FRINO PRO 2017 von Dr. Friedrich Nöckler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075" r:id="rId4" name="Drop Down 3">
              <controlPr defaultSize="0" print="0" autoLine="0" autoPict="0">
                <anchor moveWithCells="1">
                  <from>
                    <xdr:col>6</xdr:col>
                    <xdr:colOff>0</xdr:colOff>
                    <xdr:row>2</xdr:row>
                    <xdr:rowOff>19050</xdr:rowOff>
                  </from>
                  <to>
                    <xdr:col>8</xdr:col>
                    <xdr:colOff>561975</xdr:colOff>
                    <xdr:row>3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/>
  <dimension ref="A1:Z161"/>
  <sheetViews>
    <sheetView showGridLines="0" showZeros="0" zoomScaleNormal="100" workbookViewId="0"/>
  </sheetViews>
  <sheetFormatPr baseColWidth="10" defaultColWidth="11.5703125" defaultRowHeight="12.75" x14ac:dyDescent="0.2"/>
  <cols>
    <col min="1" max="1" width="11.28515625" customWidth="1"/>
    <col min="2" max="2" width="11.7109375" customWidth="1"/>
    <col min="3" max="3" width="10.85546875" customWidth="1"/>
    <col min="4" max="4" width="11.28515625" customWidth="1"/>
    <col min="5" max="5" width="5.42578125" customWidth="1"/>
    <col min="6" max="6" width="6" customWidth="1"/>
    <col min="7" max="7" width="11.140625" customWidth="1"/>
    <col min="8" max="8" width="9.85546875" customWidth="1"/>
    <col min="9" max="9" width="9.140625" customWidth="1"/>
    <col min="10" max="10" width="2.5703125" style="277" customWidth="1"/>
    <col min="11" max="15" width="2.140625" customWidth="1"/>
    <col min="16" max="16" width="2.28515625" customWidth="1"/>
    <col min="17" max="17" width="11.28515625" customWidth="1"/>
    <col min="18" max="18" width="10.7109375" customWidth="1"/>
    <col min="19" max="19" width="9" bestFit="1" customWidth="1"/>
    <col min="20" max="20" width="11.28515625" bestFit="1" customWidth="1"/>
    <col min="21" max="21" width="8.5703125" bestFit="1" customWidth="1"/>
    <col min="22" max="22" width="9.5703125" customWidth="1"/>
    <col min="23" max="24" width="10.7109375" customWidth="1"/>
  </cols>
  <sheetData>
    <row r="1" spans="1:26" s="144" customFormat="1" ht="16.5" customHeight="1" x14ac:dyDescent="0.2">
      <c r="A1" s="316" t="s">
        <v>106</v>
      </c>
      <c r="B1" s="317"/>
      <c r="C1" s="317"/>
      <c r="D1" s="317"/>
      <c r="E1" s="317"/>
      <c r="F1" s="317"/>
      <c r="G1" s="317"/>
      <c r="H1" s="317"/>
      <c r="I1" s="318" t="s">
        <v>47</v>
      </c>
      <c r="J1" s="473">
        <f>[1]Firma!$A$12</f>
        <v>45352</v>
      </c>
      <c r="K1" s="473"/>
      <c r="L1" s="473"/>
      <c r="M1" s="473"/>
      <c r="N1" s="473"/>
      <c r="O1" s="474"/>
      <c r="P1" s="143"/>
      <c r="Q1" s="143"/>
      <c r="R1" s="143"/>
      <c r="S1" s="143"/>
      <c r="T1" s="143"/>
      <c r="U1" s="143"/>
      <c r="V1" s="143"/>
      <c r="W1" s="143"/>
      <c r="X1" s="143"/>
      <c r="Y1" s="143"/>
      <c r="Z1" s="143"/>
    </row>
    <row r="2" spans="1:26" s="124" customFormat="1" ht="12.75" customHeight="1" x14ac:dyDescent="0.2">
      <c r="A2" s="199" t="s">
        <v>107</v>
      </c>
      <c r="B2" s="200"/>
      <c r="C2" s="200"/>
      <c r="D2" s="201"/>
      <c r="E2" s="188" t="s">
        <v>132</v>
      </c>
      <c r="F2" s="202"/>
      <c r="G2" s="200"/>
      <c r="H2" s="200"/>
      <c r="I2" s="203"/>
      <c r="J2" s="302"/>
      <c r="K2" s="201"/>
      <c r="L2" s="201"/>
      <c r="M2" s="201"/>
      <c r="N2" s="200"/>
      <c r="O2" s="303"/>
      <c r="P2" s="121"/>
      <c r="Q2" s="121"/>
      <c r="R2" s="121"/>
      <c r="S2" s="121"/>
      <c r="T2" s="121"/>
      <c r="U2" s="121"/>
      <c r="V2" s="121"/>
      <c r="W2" s="121"/>
      <c r="X2" s="121"/>
      <c r="Y2" s="121"/>
      <c r="Z2" s="121"/>
    </row>
    <row r="3" spans="1:26" ht="16.899999999999999" customHeight="1" x14ac:dyDescent="0.2">
      <c r="A3" s="88" t="s">
        <v>100</v>
      </c>
      <c r="B3" s="83" t="str">
        <f>[1]Firma!$A$4</f>
        <v>Asues GmbH</v>
      </c>
      <c r="C3" s="1"/>
      <c r="D3" s="1"/>
      <c r="E3" s="555" t="s">
        <v>126</v>
      </c>
      <c r="F3" s="556"/>
      <c r="G3" s="72" t="str">
        <f>VLOOKUP(P3,'[1]Mit-1'!$A$5:$B$19,2,FALSE)</f>
        <v>AAAAA BBBBB</v>
      </c>
      <c r="H3" s="72"/>
      <c r="I3" s="85"/>
      <c r="J3" s="304"/>
      <c r="K3" s="72"/>
      <c r="L3" s="72"/>
      <c r="M3" s="72"/>
      <c r="N3" s="72"/>
      <c r="O3" s="134"/>
      <c r="P3" s="72">
        <v>1</v>
      </c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0.5" customHeight="1" x14ac:dyDescent="0.2">
      <c r="A4" s="87" t="s">
        <v>101</v>
      </c>
      <c r="B4" s="3" t="str">
        <f>[1]Firma!$B$4</f>
        <v>Josef-Ferrari-Straße 12; 39031 Bruneck (BZ)</v>
      </c>
      <c r="C4" s="3"/>
      <c r="D4" s="3"/>
      <c r="E4" s="187" t="s">
        <v>127</v>
      </c>
      <c r="G4" s="30" t="str">
        <f>VLOOKUP($P$3,'[1]Mit-1'!$A$5:$U$19,3,FALSE)</f>
        <v>Michael-Pacher-Straße 10, 39031 Bruneck</v>
      </c>
      <c r="I4" s="134"/>
      <c r="N4" s="1"/>
      <c r="O4" s="2"/>
      <c r="P4" s="1"/>
      <c r="V4" s="1"/>
      <c r="W4" s="1"/>
      <c r="X4" s="1"/>
      <c r="Y4" s="1"/>
      <c r="Z4" s="1"/>
    </row>
    <row r="5" spans="1:26" ht="16.899999999999999" customHeight="1" x14ac:dyDescent="0.2">
      <c r="A5" s="88" t="s">
        <v>102</v>
      </c>
      <c r="B5" s="288" t="str">
        <f>[1]Firma!$C$4</f>
        <v>IT09997110213</v>
      </c>
      <c r="C5" s="3"/>
      <c r="D5" s="3"/>
      <c r="E5" s="555" t="s">
        <v>103</v>
      </c>
      <c r="F5" s="556"/>
      <c r="G5" s="30" t="str">
        <f>VLOOKUP($P$3,'[1]Mit-1'!$A$5:$U$19,6,FALSE)</f>
        <v>AAABBB84B11B220G</v>
      </c>
      <c r="I5" s="2"/>
      <c r="K5" s="1"/>
      <c r="L5" s="1"/>
      <c r="M5" s="1"/>
      <c r="N5" s="1"/>
      <c r="O5" s="2"/>
      <c r="P5" s="1"/>
      <c r="Q5" s="546" t="s">
        <v>136</v>
      </c>
      <c r="R5" s="547"/>
      <c r="S5" s="548"/>
      <c r="T5" s="1"/>
      <c r="U5" s="1"/>
      <c r="V5" s="1"/>
      <c r="W5" s="1"/>
      <c r="X5" s="1"/>
      <c r="Y5" s="1"/>
      <c r="Z5" s="1"/>
    </row>
    <row r="6" spans="1:26" ht="16.899999999999999" customHeight="1" x14ac:dyDescent="0.2">
      <c r="A6" s="88" t="s">
        <v>103</v>
      </c>
      <c r="B6" s="288" t="str">
        <f>[1]Firma!$D$4</f>
        <v>09997110213</v>
      </c>
      <c r="C6" s="3"/>
      <c r="D6" s="3"/>
      <c r="E6" s="187" t="s">
        <v>128</v>
      </c>
      <c r="G6" s="149">
        <f>VLOOKUP($P$3,'[1]Mit-1'!$A$28:$C$42,3,FALSE)</f>
        <v>1</v>
      </c>
      <c r="H6" s="89" t="s">
        <v>9</v>
      </c>
      <c r="I6" s="54">
        <f>VLOOKUP($P$3,'[1]Mit-1'!$A$5:$U$19,7,FALSE)</f>
        <v>45597</v>
      </c>
      <c r="N6" s="1"/>
      <c r="O6" s="2"/>
      <c r="P6" s="1"/>
      <c r="Q6" s="549"/>
      <c r="R6" s="550"/>
      <c r="S6" s="551"/>
      <c r="T6" s="1"/>
      <c r="U6" s="1"/>
      <c r="V6" s="1"/>
      <c r="W6" s="1"/>
      <c r="X6" s="1"/>
      <c r="Y6" s="1"/>
      <c r="Z6" s="1"/>
    </row>
    <row r="7" spans="1:26" ht="16.899999999999999" customHeight="1" x14ac:dyDescent="0.2">
      <c r="A7" s="87" t="s">
        <v>104</v>
      </c>
      <c r="B7" s="288" t="str">
        <f>[1]Firma!$E$4</f>
        <v>1420030006</v>
      </c>
      <c r="C7" s="3"/>
      <c r="D7" s="3"/>
      <c r="E7" s="555" t="s">
        <v>129</v>
      </c>
      <c r="F7" s="556"/>
      <c r="G7" s="36">
        <f>VLOOKUP($P$3,'[1]Mit-1'!$A$5:$U$19,4,FALSE)</f>
        <v>30723</v>
      </c>
      <c r="H7" s="90" t="s">
        <v>10</v>
      </c>
      <c r="I7" s="53" t="str">
        <f>VLOOKUP($P$3,'[1]Mit-1'!$A$5:$U$19,5,FALSE)</f>
        <v>Bruneck</v>
      </c>
      <c r="N7" s="1"/>
      <c r="O7" s="2"/>
      <c r="P7" s="1"/>
      <c r="Q7" s="552" t="s">
        <v>134</v>
      </c>
      <c r="R7" s="553"/>
      <c r="S7" s="554"/>
      <c r="T7" s="1"/>
      <c r="U7" s="1"/>
      <c r="V7" s="1"/>
      <c r="W7" s="1"/>
      <c r="X7" s="1"/>
      <c r="Y7" s="1"/>
      <c r="Z7" s="1"/>
    </row>
    <row r="8" spans="1:26" ht="16.899999999999999" customHeight="1" x14ac:dyDescent="0.2">
      <c r="A8" s="87" t="s">
        <v>105</v>
      </c>
      <c r="B8" s="288" t="str">
        <f>[1]Firma!$F$4</f>
        <v>13625</v>
      </c>
      <c r="C8" s="3"/>
      <c r="D8" s="3"/>
      <c r="E8" s="555" t="s">
        <v>130</v>
      </c>
      <c r="F8" s="556"/>
      <c r="G8" s="149">
        <f>VLOOKUP($P$3,'[1]Mit-2'!$A$5:$P$19,5,FALSE)</f>
        <v>2</v>
      </c>
      <c r="H8" s="91" t="s">
        <v>231</v>
      </c>
      <c r="I8" s="150">
        <f>VLOOKUP($P$3,'[1]Mit-2'!$A$46:$AD$60,19,FALSE)</f>
        <v>0</v>
      </c>
      <c r="J8" s="475" t="s">
        <v>226</v>
      </c>
      <c r="K8" s="476"/>
      <c r="L8" s="476"/>
      <c r="M8" s="476"/>
      <c r="N8" s="476"/>
      <c r="O8" s="477"/>
      <c r="P8" s="1"/>
      <c r="Q8" s="552"/>
      <c r="R8" s="553"/>
      <c r="S8" s="554"/>
      <c r="T8" s="1"/>
      <c r="U8" s="1"/>
      <c r="V8" s="1"/>
      <c r="W8" s="1"/>
      <c r="X8" s="1"/>
      <c r="Y8" s="1"/>
      <c r="Z8" s="1"/>
    </row>
    <row r="9" spans="1:26" ht="16.899999999999999" customHeight="1" x14ac:dyDescent="0.2">
      <c r="A9" s="135"/>
      <c r="B9" s="72"/>
      <c r="C9" s="72"/>
      <c r="D9" s="72"/>
      <c r="E9" s="555" t="s">
        <v>131</v>
      </c>
      <c r="F9" s="556"/>
      <c r="G9" s="447">
        <f>VLOOKUP($P$3,'[1]Mit-2'!$A$5:$AD$19,19,FALSE)</f>
        <v>100</v>
      </c>
      <c r="H9" s="90" t="s">
        <v>232</v>
      </c>
      <c r="I9" s="429"/>
      <c r="J9" s="478"/>
      <c r="K9" s="479"/>
      <c r="L9" s="479"/>
      <c r="M9" s="479"/>
      <c r="N9" s="479"/>
      <c r="O9" s="480"/>
      <c r="P9" s="1"/>
      <c r="Q9" s="198"/>
      <c r="R9" s="430"/>
      <c r="S9" s="2"/>
      <c r="T9" s="287">
        <f>[1]Firma!$B$12</f>
        <v>31</v>
      </c>
      <c r="U9" s="1"/>
      <c r="V9" s="1"/>
      <c r="W9" s="1"/>
      <c r="X9" s="1"/>
      <c r="Y9" s="1"/>
      <c r="Z9" s="1"/>
    </row>
    <row r="10" spans="1:26" ht="10.9" customHeight="1" x14ac:dyDescent="0.2">
      <c r="A10" s="189" t="s">
        <v>108</v>
      </c>
      <c r="B10" s="26"/>
      <c r="C10" s="26"/>
      <c r="D10" s="26"/>
      <c r="E10" s="26"/>
      <c r="F10" s="26"/>
      <c r="G10" s="26"/>
      <c r="H10" s="26"/>
      <c r="I10" s="190"/>
      <c r="J10" s="481" t="s">
        <v>227</v>
      </c>
      <c r="K10" s="484" t="s">
        <v>228</v>
      </c>
      <c r="L10" s="487" t="s">
        <v>229</v>
      </c>
      <c r="M10" s="487" t="s">
        <v>264</v>
      </c>
      <c r="N10" s="487" t="s">
        <v>265</v>
      </c>
      <c r="O10" s="557" t="s">
        <v>266</v>
      </c>
      <c r="P10" s="1"/>
      <c r="Q10" s="538" t="s">
        <v>207</v>
      </c>
      <c r="R10" s="539"/>
      <c r="S10" s="540"/>
      <c r="T10" s="1"/>
      <c r="U10" s="1"/>
      <c r="V10" s="1"/>
      <c r="W10" s="1"/>
      <c r="X10" s="1"/>
      <c r="Y10" s="1"/>
      <c r="Z10" s="1"/>
    </row>
    <row r="11" spans="1:26" s="94" customFormat="1" ht="13.9" customHeight="1" x14ac:dyDescent="0.15">
      <c r="A11" s="181" t="s">
        <v>16</v>
      </c>
      <c r="B11" s="182" t="s">
        <v>11</v>
      </c>
      <c r="C11" s="182" t="s">
        <v>12</v>
      </c>
      <c r="D11" s="182" t="s">
        <v>13</v>
      </c>
      <c r="E11" s="544" t="s">
        <v>14</v>
      </c>
      <c r="F11" s="545"/>
      <c r="G11" s="182" t="s">
        <v>15</v>
      </c>
      <c r="H11" s="183" t="s">
        <v>218</v>
      </c>
      <c r="I11" s="186"/>
      <c r="J11" s="482"/>
      <c r="K11" s="485"/>
      <c r="L11" s="488"/>
      <c r="M11" s="488"/>
      <c r="N11" s="488"/>
      <c r="O11" s="558"/>
      <c r="P11" s="93"/>
      <c r="Q11" s="541"/>
      <c r="R11" s="542"/>
      <c r="S11" s="543"/>
      <c r="T11" s="93"/>
      <c r="U11" s="93"/>
      <c r="V11" s="93"/>
      <c r="W11" s="93"/>
      <c r="X11" s="93"/>
      <c r="Y11" s="93"/>
      <c r="Z11" s="93"/>
    </row>
    <row r="12" spans="1:26" x14ac:dyDescent="0.2">
      <c r="A12" s="171">
        <f>VLOOKUP($G$8,'[1]Lohntab-Tab-retr.'!$A$7:$O$15,4,FALSE)</f>
        <v>1477.83</v>
      </c>
      <c r="B12" s="172">
        <f>VLOOKUP($G$8,'[1]Lohntab-Tab-retr.'!$A$21:$O$29,4,FALSE)</f>
        <v>532.54</v>
      </c>
      <c r="C12" s="172">
        <f>I8*VLOOKUP($G$8,'[1]Lohntab-Tab-retr.'!$A$63:$O$71,4,FALSE)</f>
        <v>0</v>
      </c>
      <c r="D12" s="172">
        <f>VLOOKUP($G$8,'[1]Lohntab-Tab-retr.'!$A$35:$O$43,4,FALSE)</f>
        <v>0</v>
      </c>
      <c r="E12" s="560">
        <f>VLOOKUP($G$8,'[1]Lohntab-Tab-retr.'!$A$49:$O$57,4,FALSE)</f>
        <v>8</v>
      </c>
      <c r="F12" s="560"/>
      <c r="G12" s="172">
        <f>VLOOKUP($P$3,'[1]Mit-2'!$A$24:$P$38,5,FALSE)</f>
        <v>0</v>
      </c>
      <c r="H12" s="172">
        <f>VLOOKUP($G$8,'[1]Lohntab-Tab-retr.'!$A$77:$O$85,4,FALSE)</f>
        <v>0</v>
      </c>
      <c r="I12" s="173"/>
      <c r="J12" s="482"/>
      <c r="K12" s="485"/>
      <c r="L12" s="488"/>
      <c r="M12" s="488"/>
      <c r="N12" s="488"/>
      <c r="O12" s="558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s="94" customFormat="1" ht="13.9" customHeight="1" x14ac:dyDescent="0.15">
      <c r="A13" s="168" t="s">
        <v>17</v>
      </c>
      <c r="B13" s="169" t="s">
        <v>18</v>
      </c>
      <c r="C13" s="169" t="s">
        <v>19</v>
      </c>
      <c r="D13" s="169" t="s">
        <v>20</v>
      </c>
      <c r="E13" s="561" t="s">
        <v>24</v>
      </c>
      <c r="F13" s="562"/>
      <c r="G13" s="169" t="s">
        <v>23</v>
      </c>
      <c r="H13" s="170" t="s">
        <v>21</v>
      </c>
      <c r="I13" s="177" t="s">
        <v>22</v>
      </c>
      <c r="J13" s="482"/>
      <c r="K13" s="485"/>
      <c r="L13" s="488"/>
      <c r="M13" s="488"/>
      <c r="N13" s="488"/>
      <c r="O13" s="558"/>
      <c r="P13" s="93"/>
      <c r="Q13" s="93"/>
      <c r="R13" s="93"/>
      <c r="S13" s="93"/>
      <c r="T13" s="93"/>
      <c r="U13" s="93"/>
      <c r="V13" s="93"/>
      <c r="W13" s="93"/>
      <c r="X13" s="93"/>
      <c r="Y13" s="93"/>
      <c r="Z13" s="93"/>
    </row>
    <row r="14" spans="1:26" x14ac:dyDescent="0.2">
      <c r="A14" s="178">
        <f>[1]Tab!G140</f>
        <v>168</v>
      </c>
      <c r="B14" s="240">
        <f>[1]Tab!G141</f>
        <v>26</v>
      </c>
      <c r="C14" s="179">
        <f>ROUND(I14/A14,5)</f>
        <v>12.014110000000001</v>
      </c>
      <c r="D14" s="179">
        <f>ROUND(I14/B14,5)</f>
        <v>77.629620000000003</v>
      </c>
      <c r="E14" s="563">
        <f>COUNT(K19:K49)</f>
        <v>0</v>
      </c>
      <c r="F14" s="563"/>
      <c r="G14" s="240">
        <f>K50</f>
        <v>0</v>
      </c>
      <c r="H14" s="240">
        <v>26</v>
      </c>
      <c r="I14" s="180">
        <f>SUM(A12:I12)</f>
        <v>2018.37</v>
      </c>
      <c r="J14" s="482"/>
      <c r="K14" s="485"/>
      <c r="L14" s="488"/>
      <c r="M14" s="488"/>
      <c r="N14" s="488"/>
      <c r="O14" s="558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</row>
    <row r="15" spans="1:26" s="94" customFormat="1" ht="13.9" customHeight="1" x14ac:dyDescent="0.15">
      <c r="A15" s="174" t="s">
        <v>26</v>
      </c>
      <c r="B15" s="175" t="s">
        <v>27</v>
      </c>
      <c r="C15" s="175" t="s">
        <v>25</v>
      </c>
      <c r="D15" s="175" t="s">
        <v>259</v>
      </c>
      <c r="E15" s="564" t="s">
        <v>260</v>
      </c>
      <c r="F15" s="565"/>
      <c r="G15" s="175" t="s">
        <v>261</v>
      </c>
      <c r="H15" s="146"/>
      <c r="I15" s="176"/>
      <c r="J15" s="482"/>
      <c r="K15" s="485"/>
      <c r="L15" s="488"/>
      <c r="M15" s="488"/>
      <c r="N15" s="488"/>
      <c r="O15" s="558"/>
      <c r="P15" s="93"/>
      <c r="Q15" s="93"/>
      <c r="R15" s="93"/>
      <c r="S15" s="93"/>
      <c r="T15" s="93"/>
      <c r="U15" s="93"/>
      <c r="V15" s="93"/>
      <c r="W15" s="93"/>
      <c r="X15" s="93"/>
      <c r="Y15" s="93"/>
      <c r="Z15" s="93"/>
    </row>
    <row r="16" spans="1:26" x14ac:dyDescent="0.2">
      <c r="A16" s="440">
        <f>'02'!A16+(VLOOKUP($P$3,'[1]Mit-2'!$A$90:$P$104,5,FALSE))*G9%</f>
        <v>0</v>
      </c>
      <c r="B16" s="438">
        <f>M50</f>
        <v>0</v>
      </c>
      <c r="C16" s="438">
        <f>A16-B16</f>
        <v>0</v>
      </c>
      <c r="D16" s="438">
        <f>'02'!D16+(VLOOKUP($P$3,'[1]Mit-2'!$A$90:$AD$104,19,FALSE))*G9%</f>
        <v>0</v>
      </c>
      <c r="E16" s="537">
        <f>N50</f>
        <v>0</v>
      </c>
      <c r="F16" s="537"/>
      <c r="G16" s="438">
        <f>D16-E16</f>
        <v>0</v>
      </c>
      <c r="H16" s="147"/>
      <c r="I16" s="185"/>
      <c r="J16" s="482"/>
      <c r="K16" s="485"/>
      <c r="L16" s="488"/>
      <c r="M16" s="488"/>
      <c r="N16" s="488"/>
      <c r="O16" s="558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</row>
    <row r="17" spans="1:26" ht="3.75" customHeight="1" x14ac:dyDescent="0.2">
      <c r="A17" s="167"/>
      <c r="B17" s="29"/>
      <c r="C17" s="29"/>
      <c r="D17" s="29"/>
      <c r="E17" s="29"/>
      <c r="F17" s="29"/>
      <c r="G17" s="29"/>
      <c r="H17" s="29"/>
      <c r="I17" s="35"/>
      <c r="J17" s="482"/>
      <c r="K17" s="485"/>
      <c r="L17" s="488"/>
      <c r="M17" s="488"/>
      <c r="N17" s="488"/>
      <c r="O17" s="558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s="92" customFormat="1" ht="16.899999999999999" customHeight="1" x14ac:dyDescent="0.15">
      <c r="A18" s="162" t="s">
        <v>28</v>
      </c>
      <c r="B18" s="163"/>
      <c r="C18" s="163"/>
      <c r="D18" s="96"/>
      <c r="E18" s="535" t="s">
        <v>29</v>
      </c>
      <c r="F18" s="536"/>
      <c r="G18" s="99" t="s">
        <v>31</v>
      </c>
      <c r="H18" s="86" t="s">
        <v>30</v>
      </c>
      <c r="I18" s="100" t="s">
        <v>233</v>
      </c>
      <c r="J18" s="483"/>
      <c r="K18" s="486"/>
      <c r="L18" s="489"/>
      <c r="M18" s="489"/>
      <c r="N18" s="489"/>
      <c r="O18" s="559"/>
      <c r="P18" s="97"/>
      <c r="V18" s="98"/>
      <c r="W18" s="98"/>
      <c r="X18" s="98"/>
      <c r="Y18" s="97"/>
      <c r="Z18" s="97"/>
    </row>
    <row r="19" spans="1:26" ht="12" customHeight="1" x14ac:dyDescent="0.2">
      <c r="A19" s="533"/>
      <c r="B19" s="534"/>
      <c r="C19" s="534"/>
      <c r="D19" s="417"/>
      <c r="E19" s="418"/>
      <c r="F19" s="419"/>
      <c r="G19" s="206">
        <f>VLOOKUP(A19,A66:F121,5,FALSE)</f>
        <v>0</v>
      </c>
      <c r="H19" s="308">
        <f>IF(E19="",0,IF(A19="",0,IF(E19="Std-ore",ROUND(C$14+C$14*G19,5),IF(E19="Tage-gg.",ROUND(D$14+D$14*G19,5),IF(E19="Monat-mese",ROUND($I$14+$I$14*G19,2))))))</f>
        <v>0</v>
      </c>
      <c r="I19" s="151">
        <f>ROUND(H19*F19,2)</f>
        <v>0</v>
      </c>
      <c r="J19" s="305">
        <v>1</v>
      </c>
      <c r="K19" s="409"/>
      <c r="L19" s="410"/>
      <c r="M19" s="410"/>
      <c r="N19" s="410"/>
      <c r="O19" s="411"/>
      <c r="P19" s="6"/>
      <c r="V19" s="1"/>
      <c r="W19" s="1"/>
      <c r="X19" s="1"/>
      <c r="Y19" s="7"/>
      <c r="Z19" s="6"/>
    </row>
    <row r="20" spans="1:26" ht="12" customHeight="1" x14ac:dyDescent="0.2">
      <c r="A20" s="526"/>
      <c r="B20" s="527"/>
      <c r="C20" s="527"/>
      <c r="D20" s="420"/>
      <c r="E20" s="421"/>
      <c r="F20" s="422"/>
      <c r="G20" s="206">
        <f>VLOOKUP(A20,A67:F122,5,FALSE)</f>
        <v>0</v>
      </c>
      <c r="H20" s="308">
        <f t="shared" ref="H20:H28" si="0">IF(E20="",0,IF(A20="",0,IF(E20="Std-ore",ROUND(C$14+C$14*G20,5),IF(E20="Tage-gg.",ROUND(D$14+D$14*G20,5),IF(E20="Monat-mese",ROUND($I$14+$I$14*G20,2))))))</f>
        <v>0</v>
      </c>
      <c r="I20" s="152">
        <f t="shared" ref="I20:I28" si="1">IF(A20="Abzug Bruttoberechnung Krankengeld INPS",ROUND(I19*G20,2),ROUND(H20*F20,2))</f>
        <v>0</v>
      </c>
      <c r="J20" s="306">
        <v>2</v>
      </c>
      <c r="K20" s="412"/>
      <c r="L20" s="413"/>
      <c r="M20" s="413"/>
      <c r="N20" s="413"/>
      <c r="O20" s="414"/>
      <c r="P20" s="6"/>
      <c r="V20" s="28"/>
      <c r="W20" s="6"/>
    </row>
    <row r="21" spans="1:26" ht="12" customHeight="1" x14ac:dyDescent="0.2">
      <c r="A21" s="526"/>
      <c r="B21" s="527"/>
      <c r="C21" s="527"/>
      <c r="D21" s="420"/>
      <c r="E21" s="421"/>
      <c r="F21" s="422"/>
      <c r="G21" s="206">
        <f>VLOOKUP(A21,A66:F121,5,FALSE)</f>
        <v>0</v>
      </c>
      <c r="H21" s="308">
        <f t="shared" si="0"/>
        <v>0</v>
      </c>
      <c r="I21" s="152">
        <f t="shared" si="1"/>
        <v>0</v>
      </c>
      <c r="J21" s="306">
        <v>3</v>
      </c>
      <c r="K21" s="412"/>
      <c r="L21" s="413"/>
      <c r="M21" s="413"/>
      <c r="N21" s="413"/>
      <c r="O21" s="414"/>
      <c r="P21" s="6"/>
      <c r="V21" s="28"/>
      <c r="W21" s="6"/>
    </row>
    <row r="22" spans="1:26" ht="12" customHeight="1" x14ac:dyDescent="0.2">
      <c r="A22" s="526"/>
      <c r="B22" s="527"/>
      <c r="C22" s="527"/>
      <c r="D22" s="420"/>
      <c r="E22" s="421"/>
      <c r="F22" s="422"/>
      <c r="G22" s="206">
        <f>VLOOKUP(A22,A67:F122,5,FALSE)</f>
        <v>0</v>
      </c>
      <c r="H22" s="308">
        <f>IF(E22="",0,IF(A22="",0,IF(E22="Std-ore",ROUND(C$14+C$14*G22,5),IF(E22="Tage-gg.",ROUND(D$14+D$14*G22,5),IF(E22="Monat-mese",ROUND($I$14+$I$14*G22,2))))))</f>
        <v>0</v>
      </c>
      <c r="I22" s="152">
        <f t="shared" si="1"/>
        <v>0</v>
      </c>
      <c r="J22" s="306">
        <v>4</v>
      </c>
      <c r="K22" s="412"/>
      <c r="L22" s="413"/>
      <c r="M22" s="413"/>
      <c r="N22" s="413"/>
      <c r="O22" s="414"/>
      <c r="P22" s="6"/>
      <c r="V22" s="28"/>
      <c r="W22" s="6"/>
    </row>
    <row r="23" spans="1:26" ht="12" customHeight="1" x14ac:dyDescent="0.2">
      <c r="A23" s="526"/>
      <c r="B23" s="527"/>
      <c r="C23" s="527"/>
      <c r="D23" s="420"/>
      <c r="E23" s="421"/>
      <c r="F23" s="422"/>
      <c r="G23" s="206">
        <f t="shared" ref="G23:G28" si="2">VLOOKUP(A23,A67:F122,5,FALSE)</f>
        <v>0</v>
      </c>
      <c r="H23" s="308">
        <f>IF(E23="",0,IF(A23="",0,IF(E23="Std-ore",ROUND(C$14+C$14*G23,5),IF(E23="Tage-gg.",ROUND(D$14+D$14*G23,5),IF(E23="Monat-mese",ROUND($I$14+$I$14*G23,2))))))</f>
        <v>0</v>
      </c>
      <c r="I23" s="152">
        <f t="shared" si="1"/>
        <v>0</v>
      </c>
      <c r="J23" s="306">
        <v>5</v>
      </c>
      <c r="K23" s="412"/>
      <c r="L23" s="413"/>
      <c r="M23" s="413"/>
      <c r="N23" s="413"/>
      <c r="O23" s="414"/>
      <c r="P23" s="6"/>
      <c r="V23" s="28"/>
      <c r="W23" s="6"/>
    </row>
    <row r="24" spans="1:26" ht="12" customHeight="1" x14ac:dyDescent="0.2">
      <c r="A24" s="526"/>
      <c r="B24" s="527"/>
      <c r="C24" s="527"/>
      <c r="D24" s="420"/>
      <c r="E24" s="421"/>
      <c r="F24" s="422"/>
      <c r="G24" s="206">
        <f t="shared" si="2"/>
        <v>0</v>
      </c>
      <c r="H24" s="308">
        <f t="shared" si="0"/>
        <v>0</v>
      </c>
      <c r="I24" s="152">
        <f t="shared" si="1"/>
        <v>0</v>
      </c>
      <c r="J24" s="306">
        <v>6</v>
      </c>
      <c r="K24" s="412"/>
      <c r="L24" s="413"/>
      <c r="M24" s="413"/>
      <c r="N24" s="413"/>
      <c r="O24" s="414"/>
      <c r="P24" s="6"/>
      <c r="V24" s="28"/>
      <c r="W24" s="6"/>
    </row>
    <row r="25" spans="1:26" ht="12" customHeight="1" x14ac:dyDescent="0.2">
      <c r="A25" s="526"/>
      <c r="B25" s="527"/>
      <c r="C25" s="527"/>
      <c r="D25" s="420"/>
      <c r="E25" s="421"/>
      <c r="F25" s="422"/>
      <c r="G25" s="206">
        <f t="shared" si="2"/>
        <v>0</v>
      </c>
      <c r="H25" s="308">
        <f t="shared" si="0"/>
        <v>0</v>
      </c>
      <c r="I25" s="152">
        <f t="shared" si="1"/>
        <v>0</v>
      </c>
      <c r="J25" s="306">
        <v>7</v>
      </c>
      <c r="K25" s="412"/>
      <c r="L25" s="413"/>
      <c r="M25" s="413"/>
      <c r="N25" s="413"/>
      <c r="O25" s="414"/>
      <c r="P25" s="6"/>
      <c r="W25" s="6"/>
    </row>
    <row r="26" spans="1:26" ht="12" customHeight="1" x14ac:dyDescent="0.2">
      <c r="A26" s="526"/>
      <c r="B26" s="527"/>
      <c r="C26" s="527"/>
      <c r="D26" s="420"/>
      <c r="E26" s="421"/>
      <c r="F26" s="422"/>
      <c r="G26" s="206">
        <f t="shared" si="2"/>
        <v>0</v>
      </c>
      <c r="H26" s="308">
        <f t="shared" si="0"/>
        <v>0</v>
      </c>
      <c r="I26" s="152">
        <f t="shared" si="1"/>
        <v>0</v>
      </c>
      <c r="J26" s="306">
        <v>8</v>
      </c>
      <c r="K26" s="412"/>
      <c r="L26" s="413"/>
      <c r="M26" s="413"/>
      <c r="N26" s="413"/>
      <c r="O26" s="414"/>
      <c r="P26" s="6"/>
      <c r="W26" s="6"/>
    </row>
    <row r="27" spans="1:26" ht="12" customHeight="1" x14ac:dyDescent="0.2">
      <c r="A27" s="526"/>
      <c r="B27" s="527"/>
      <c r="C27" s="527"/>
      <c r="D27" s="420"/>
      <c r="E27" s="421"/>
      <c r="F27" s="422"/>
      <c r="G27" s="206">
        <f t="shared" si="2"/>
        <v>0</v>
      </c>
      <c r="H27" s="308">
        <f t="shared" si="0"/>
        <v>0</v>
      </c>
      <c r="I27" s="152">
        <f t="shared" si="1"/>
        <v>0</v>
      </c>
      <c r="J27" s="306">
        <v>9</v>
      </c>
      <c r="K27" s="412"/>
      <c r="L27" s="413"/>
      <c r="M27" s="413"/>
      <c r="N27" s="413"/>
      <c r="O27" s="414"/>
      <c r="P27" s="6"/>
    </row>
    <row r="28" spans="1:26" ht="12" customHeight="1" x14ac:dyDescent="0.2">
      <c r="A28" s="526"/>
      <c r="B28" s="527"/>
      <c r="C28" s="527"/>
      <c r="D28" s="420"/>
      <c r="E28" s="421"/>
      <c r="F28" s="422"/>
      <c r="G28" s="206">
        <f t="shared" si="2"/>
        <v>0</v>
      </c>
      <c r="H28" s="308">
        <f t="shared" si="0"/>
        <v>0</v>
      </c>
      <c r="I28" s="152">
        <f t="shared" si="1"/>
        <v>0</v>
      </c>
      <c r="J28" s="306">
        <v>10</v>
      </c>
      <c r="K28" s="412"/>
      <c r="L28" s="413"/>
      <c r="M28" s="413"/>
      <c r="N28" s="413"/>
      <c r="O28" s="414"/>
      <c r="P28" s="6"/>
    </row>
    <row r="29" spans="1:26" ht="12" customHeight="1" x14ac:dyDescent="0.2">
      <c r="A29" s="119" t="s">
        <v>109</v>
      </c>
      <c r="B29" s="57"/>
      <c r="C29" s="57"/>
      <c r="D29" s="57"/>
      <c r="E29" s="57"/>
      <c r="F29" s="58"/>
      <c r="G29" s="57"/>
      <c r="H29" s="57"/>
      <c r="I29" s="154">
        <f>SUM(I19:I28)</f>
        <v>0</v>
      </c>
      <c r="J29" s="306">
        <v>11</v>
      </c>
      <c r="K29" s="412"/>
      <c r="L29" s="413"/>
      <c r="M29" s="413"/>
      <c r="N29" s="415"/>
      <c r="O29" s="416"/>
      <c r="P29" s="9"/>
    </row>
    <row r="30" spans="1:26" ht="12" customHeight="1" x14ac:dyDescent="0.2">
      <c r="A30" s="211" t="s">
        <v>236</v>
      </c>
      <c r="B30" s="55"/>
      <c r="C30" s="59"/>
      <c r="D30" s="59"/>
      <c r="E30" s="59"/>
      <c r="F30" s="102" t="s">
        <v>55</v>
      </c>
      <c r="G30" s="73">
        <f>ROUND(I29,0)</f>
        <v>0</v>
      </c>
      <c r="H30" s="164">
        <f>'[1]Mit-1'!$C$21</f>
        <v>9.1899999999999996E-2</v>
      </c>
      <c r="I30" s="151">
        <f>-ROUND(G30*H30,2)</f>
        <v>0</v>
      </c>
      <c r="J30" s="306">
        <v>12</v>
      </c>
      <c r="K30" s="412"/>
      <c r="L30" s="413"/>
      <c r="M30" s="413"/>
      <c r="N30" s="413"/>
      <c r="O30" s="414"/>
      <c r="P30" s="1"/>
      <c r="Z30" s="1"/>
    </row>
    <row r="31" spans="1:26" ht="12" customHeight="1" x14ac:dyDescent="0.2">
      <c r="A31" s="104" t="s">
        <v>237</v>
      </c>
      <c r="B31" s="61"/>
      <c r="C31" s="62"/>
      <c r="D31" s="62"/>
      <c r="E31" s="62"/>
      <c r="F31" s="103" t="s">
        <v>55</v>
      </c>
      <c r="G31" s="60">
        <f>ROUND(I29,2)</f>
        <v>0</v>
      </c>
      <c r="H31" s="165">
        <f>VLOOKUP($P$3,'[1]Mit-1'!$A$5:$U$19,19,FALSE)</f>
        <v>1.23E-2</v>
      </c>
      <c r="I31" s="152">
        <f>-ROUND(G31*H31,2)</f>
        <v>0</v>
      </c>
      <c r="J31" s="306">
        <v>13</v>
      </c>
      <c r="K31" s="412"/>
      <c r="L31" s="413"/>
      <c r="M31" s="413"/>
      <c r="N31" s="413"/>
      <c r="O31" s="414"/>
      <c r="P31" s="1"/>
      <c r="Z31" s="1"/>
    </row>
    <row r="32" spans="1:26" ht="12" customHeight="1" x14ac:dyDescent="0.2">
      <c r="A32" s="104" t="s">
        <v>234</v>
      </c>
      <c r="B32" s="61"/>
      <c r="C32" s="62"/>
      <c r="D32" s="62"/>
      <c r="E32" s="62"/>
      <c r="F32" s="103" t="s">
        <v>55</v>
      </c>
      <c r="G32" s="327">
        <f>IF(I29=0,0,IF(R9&gt;0,SUM(A12:B12)/T9*R9,SUM(A12:B12)))</f>
        <v>0</v>
      </c>
      <c r="H32" s="165">
        <f>'[1]Mit-1'!$I$21</f>
        <v>1E-3</v>
      </c>
      <c r="I32" s="152">
        <f>-ROUND(G32*H32,2)</f>
        <v>0</v>
      </c>
      <c r="J32" s="306">
        <v>14</v>
      </c>
      <c r="K32" s="412"/>
      <c r="L32" s="413"/>
      <c r="M32" s="413"/>
      <c r="N32" s="413"/>
      <c r="O32" s="414"/>
      <c r="P32" s="1"/>
      <c r="Z32" s="1"/>
    </row>
    <row r="33" spans="1:26" ht="12" customHeight="1" x14ac:dyDescent="0.2">
      <c r="A33" s="104" t="s">
        <v>235</v>
      </c>
      <c r="B33" s="61"/>
      <c r="C33" s="62"/>
      <c r="D33" s="62"/>
      <c r="E33" s="62"/>
      <c r="F33" s="103" t="s">
        <v>55</v>
      </c>
      <c r="G33" s="60">
        <f>G30</f>
        <v>0</v>
      </c>
      <c r="H33" s="165">
        <f>'[1]Mit-1'!$I$23</f>
        <v>4.0000000000000001E-3</v>
      </c>
      <c r="I33" s="152">
        <f>-ROUND(G33*H33,2)</f>
        <v>0</v>
      </c>
      <c r="J33" s="306">
        <v>15</v>
      </c>
      <c r="K33" s="412"/>
      <c r="L33" s="413"/>
      <c r="M33" s="413"/>
      <c r="N33" s="413"/>
      <c r="O33" s="414"/>
      <c r="P33" s="1"/>
      <c r="Z33" s="1"/>
    </row>
    <row r="34" spans="1:26" ht="12" customHeight="1" x14ac:dyDescent="0.2">
      <c r="A34" s="104" t="s">
        <v>258</v>
      </c>
      <c r="B34" s="61"/>
      <c r="C34" s="62"/>
      <c r="D34" s="62"/>
      <c r="E34" s="62"/>
      <c r="F34" s="394"/>
      <c r="G34" s="52"/>
      <c r="H34" s="395"/>
      <c r="I34" s="152">
        <f>-IF(I29=0,0,'[1]Mit-1'!$I$25)</f>
        <v>0</v>
      </c>
      <c r="J34" s="306">
        <v>16</v>
      </c>
      <c r="K34" s="412"/>
      <c r="L34" s="413"/>
      <c r="M34" s="413"/>
      <c r="N34" s="413"/>
      <c r="O34" s="414"/>
      <c r="P34" s="1"/>
      <c r="Z34" s="1"/>
    </row>
    <row r="35" spans="1:26" ht="12" customHeight="1" x14ac:dyDescent="0.2">
      <c r="A35" s="104" t="s">
        <v>110</v>
      </c>
      <c r="B35" s="10"/>
      <c r="C35" s="10"/>
      <c r="D35" s="10"/>
      <c r="E35" s="10"/>
      <c r="F35" s="10"/>
      <c r="G35" s="11"/>
      <c r="H35" s="63"/>
      <c r="I35" s="152">
        <f ca="1">-SUMIF($A$19:$C$28,"Krankheit INPS-Anteil*",$I$19:$I$28)</f>
        <v>0</v>
      </c>
      <c r="J35" s="306">
        <v>17</v>
      </c>
      <c r="K35" s="412"/>
      <c r="L35" s="413"/>
      <c r="M35" s="413"/>
      <c r="N35" s="413"/>
      <c r="O35" s="414"/>
      <c r="P35" s="6"/>
      <c r="Y35" s="6"/>
      <c r="Z35" s="6"/>
    </row>
    <row r="36" spans="1:26" ht="12" customHeight="1" x14ac:dyDescent="0.2">
      <c r="A36" s="104" t="s">
        <v>111</v>
      </c>
      <c r="B36" s="10"/>
      <c r="C36" s="10"/>
      <c r="D36" s="10"/>
      <c r="E36" s="10"/>
      <c r="F36" s="10"/>
      <c r="G36" s="11"/>
      <c r="H36" s="63"/>
      <c r="I36" s="152">
        <f ca="1">-SUMIF($A$19:$C$28,"Mutterschaft INPS-Anteil*",$I$19:$I$28)</f>
        <v>0</v>
      </c>
      <c r="J36" s="306">
        <v>18</v>
      </c>
      <c r="K36" s="412"/>
      <c r="L36" s="413"/>
      <c r="M36" s="413"/>
      <c r="N36" s="413"/>
      <c r="O36" s="414"/>
      <c r="P36" s="6"/>
      <c r="Y36" s="6"/>
      <c r="Z36" s="6"/>
    </row>
    <row r="37" spans="1:26" ht="12" customHeight="1" x14ac:dyDescent="0.2">
      <c r="A37" s="105" t="s">
        <v>112</v>
      </c>
      <c r="B37" s="10"/>
      <c r="C37" s="10"/>
      <c r="D37" s="10"/>
      <c r="E37" s="10"/>
      <c r="F37" s="10"/>
      <c r="G37" s="11"/>
      <c r="H37" s="52">
        <f>ROUND(IF(I29=0,0,VLOOKUP($P$3,'[1]Mit-1'!$A$5:$AD$19,12,FALSE)),2)</f>
        <v>0</v>
      </c>
      <c r="I37" s="155"/>
      <c r="J37" s="306">
        <v>19</v>
      </c>
      <c r="K37" s="412"/>
      <c r="L37" s="413"/>
      <c r="M37" s="413"/>
      <c r="N37" s="413"/>
      <c r="O37" s="414"/>
      <c r="P37" s="6"/>
      <c r="Y37" s="6"/>
      <c r="Z37" s="6"/>
    </row>
    <row r="38" spans="1:26" ht="12" customHeight="1" x14ac:dyDescent="0.2">
      <c r="A38" s="107" t="s">
        <v>113</v>
      </c>
      <c r="B38" s="10"/>
      <c r="C38" s="10"/>
      <c r="D38" s="10"/>
      <c r="E38" s="10"/>
      <c r="F38" s="10"/>
      <c r="G38" s="11"/>
      <c r="H38" s="236">
        <f ca="1">IF(SUM(I29:I37)-H37&lt;0,0,SUM(I29:I36)-H37)</f>
        <v>0</v>
      </c>
      <c r="I38" s="156"/>
      <c r="J38" s="306">
        <v>20</v>
      </c>
      <c r="K38" s="412"/>
      <c r="L38" s="413"/>
      <c r="M38" s="413"/>
      <c r="N38" s="413"/>
      <c r="O38" s="414"/>
      <c r="P38" s="6"/>
      <c r="Y38" s="6"/>
      <c r="Z38" s="6"/>
    </row>
    <row r="39" spans="1:26" ht="12" customHeight="1" x14ac:dyDescent="0.2">
      <c r="A39" s="211" t="s">
        <v>143</v>
      </c>
      <c r="B39" s="14"/>
      <c r="C39" s="14"/>
      <c r="D39" s="14"/>
      <c r="E39" s="14"/>
      <c r="F39" s="14"/>
      <c r="G39" s="14"/>
      <c r="H39" s="238">
        <f ca="1">-U50</f>
        <v>0</v>
      </c>
      <c r="I39" s="159"/>
      <c r="J39" s="306">
        <v>21</v>
      </c>
      <c r="K39" s="412"/>
      <c r="L39" s="413"/>
      <c r="M39" s="413"/>
      <c r="N39" s="413"/>
      <c r="O39" s="414"/>
      <c r="P39" s="6"/>
      <c r="R39" s="216"/>
      <c r="V39" s="6"/>
      <c r="W39" s="6"/>
      <c r="X39" s="6"/>
      <c r="Y39" s="6"/>
      <c r="Z39" s="6"/>
    </row>
    <row r="40" spans="1:26" ht="12" customHeight="1" x14ac:dyDescent="0.2">
      <c r="A40" s="104" t="s">
        <v>144</v>
      </c>
      <c r="B40" s="10"/>
      <c r="C40" s="10"/>
      <c r="D40" s="10"/>
      <c r="E40" s="10"/>
      <c r="F40" s="10"/>
      <c r="G40" s="10"/>
      <c r="H40" s="242">
        <f>ROUND(IF(I29=0,0,VLOOKUP($P$3,'[1]Mit-1'!$A$5:$AB$19,13,FALSE)/[1]Firma!$B$24*IF(R9=0,T9,R9)),2)</f>
        <v>0</v>
      </c>
      <c r="I40" s="156"/>
      <c r="J40" s="306">
        <v>22</v>
      </c>
      <c r="K40" s="412"/>
      <c r="L40" s="413"/>
      <c r="M40" s="413"/>
      <c r="N40" s="413"/>
      <c r="O40" s="414"/>
      <c r="P40" s="6"/>
      <c r="Q40" s="220"/>
      <c r="R40" s="216"/>
      <c r="S40" s="217"/>
      <c r="T40" s="218"/>
      <c r="U40" s="219"/>
      <c r="V40" s="6"/>
      <c r="W40" s="6"/>
      <c r="X40" s="6"/>
      <c r="Y40" s="6"/>
      <c r="Z40" s="6"/>
    </row>
    <row r="41" spans="1:26" ht="12" customHeight="1" x14ac:dyDescent="0.2">
      <c r="A41" s="110" t="s">
        <v>145</v>
      </c>
      <c r="B41" s="221"/>
      <c r="C41" s="221"/>
      <c r="D41" s="221"/>
      <c r="E41" s="221"/>
      <c r="F41" s="221"/>
      <c r="G41" s="221"/>
      <c r="H41" s="242">
        <f>ROUND(IF(I29=0,0,VLOOKUP($P$3,'[1]Mit-2'!$A$46:$P$60,3,FALSE)/12),2)</f>
        <v>0</v>
      </c>
      <c r="I41" s="286"/>
      <c r="J41" s="306">
        <v>23</v>
      </c>
      <c r="K41" s="412"/>
      <c r="L41" s="413"/>
      <c r="M41" s="413"/>
      <c r="N41" s="413"/>
      <c r="O41" s="414"/>
      <c r="P41" s="6"/>
      <c r="Q41" s="492" t="s">
        <v>4</v>
      </c>
      <c r="R41" s="493"/>
      <c r="S41" s="494" t="s">
        <v>7</v>
      </c>
      <c r="T41" s="498" t="s">
        <v>5</v>
      </c>
      <c r="U41" s="490" t="s">
        <v>2</v>
      </c>
      <c r="V41" s="6"/>
      <c r="W41" s="6"/>
      <c r="X41" s="6"/>
      <c r="Y41" s="6"/>
      <c r="Z41" s="6"/>
    </row>
    <row r="42" spans="1:26" ht="12" customHeight="1" x14ac:dyDescent="0.2">
      <c r="A42" s="108" t="s">
        <v>146</v>
      </c>
      <c r="B42" s="64"/>
      <c r="C42" s="64"/>
      <c r="D42" s="64"/>
      <c r="E42" s="64"/>
      <c r="F42" s="64"/>
      <c r="G42" s="64"/>
      <c r="H42" s="65"/>
      <c r="I42" s="157">
        <f ca="1">IF(SUM(H39:H41)&gt;=0,0,SUM(H39:H41))</f>
        <v>0</v>
      </c>
      <c r="J42" s="306">
        <v>24</v>
      </c>
      <c r="K42" s="412"/>
      <c r="L42" s="413"/>
      <c r="M42" s="413"/>
      <c r="N42" s="413"/>
      <c r="O42" s="414"/>
      <c r="P42" s="6"/>
      <c r="Q42" s="529"/>
      <c r="R42" s="530"/>
      <c r="S42" s="532"/>
      <c r="T42" s="531"/>
      <c r="U42" s="528"/>
      <c r="V42" s="6"/>
      <c r="W42" s="6"/>
      <c r="X42" s="6"/>
      <c r="Y42" s="6"/>
      <c r="Z42" s="6"/>
    </row>
    <row r="43" spans="1:26" ht="12" customHeight="1" x14ac:dyDescent="0.2">
      <c r="A43" s="106" t="s">
        <v>141</v>
      </c>
      <c r="B43" s="212"/>
      <c r="C43" s="10"/>
      <c r="D43" s="213"/>
      <c r="E43" s="574"/>
      <c r="F43" s="575"/>
      <c r="G43" s="214"/>
      <c r="H43" s="215" t="s">
        <v>33</v>
      </c>
      <c r="I43" s="151"/>
      <c r="J43" s="306">
        <v>25</v>
      </c>
      <c r="K43" s="412"/>
      <c r="L43" s="413"/>
      <c r="M43" s="413"/>
      <c r="N43" s="413"/>
      <c r="O43" s="414"/>
      <c r="P43" s="6"/>
      <c r="Q43" s="81" t="s">
        <v>0</v>
      </c>
      <c r="R43" s="82" t="s">
        <v>1</v>
      </c>
      <c r="S43" s="495"/>
      <c r="T43" s="499"/>
      <c r="U43" s="491"/>
      <c r="V43" s="6"/>
      <c r="W43" s="6"/>
      <c r="X43" s="6"/>
      <c r="Y43" s="6"/>
      <c r="Z43" s="6"/>
    </row>
    <row r="44" spans="1:26" ht="12" customHeight="1" x14ac:dyDescent="0.2">
      <c r="A44" s="104" t="s">
        <v>114</v>
      </c>
      <c r="B44" s="15"/>
      <c r="C44" s="8"/>
      <c r="D44" s="16"/>
      <c r="E44" s="511"/>
      <c r="F44" s="512"/>
      <c r="G44" s="17"/>
      <c r="H44" s="407"/>
      <c r="I44" s="158">
        <f>-H44</f>
        <v>0</v>
      </c>
      <c r="J44" s="306">
        <v>26</v>
      </c>
      <c r="K44" s="412"/>
      <c r="L44" s="413"/>
      <c r="M44" s="413"/>
      <c r="N44" s="413"/>
      <c r="O44" s="414"/>
      <c r="P44" s="6"/>
      <c r="Q44" s="78">
        <f>[1]Tab!E8</f>
        <v>0</v>
      </c>
      <c r="R44" s="74">
        <f>[1]Tab!F8</f>
        <v>1250</v>
      </c>
      <c r="S44" s="75">
        <f>[1]Tab!G8</f>
        <v>0.23</v>
      </c>
      <c r="T44" s="76">
        <f>ROUND(R44*S44,2)</f>
        <v>287.5</v>
      </c>
      <c r="U44" s="76">
        <f ca="1">ROUND(IF(AND($H$38&lt;=R44,$H$38&gt;0),$H$38*S44,0),2)</f>
        <v>0</v>
      </c>
      <c r="V44" s="6"/>
      <c r="W44" s="6"/>
      <c r="X44" s="6"/>
      <c r="Y44" s="6"/>
      <c r="Z44" s="6"/>
    </row>
    <row r="45" spans="1:26" s="1" customFormat="1" ht="12" customHeight="1" x14ac:dyDescent="0.2">
      <c r="A45" s="110" t="s">
        <v>115</v>
      </c>
      <c r="B45" s="18"/>
      <c r="C45" s="111" t="s">
        <v>219</v>
      </c>
      <c r="D45" s="19">
        <v>11</v>
      </c>
      <c r="E45" s="511"/>
      <c r="F45" s="512"/>
      <c r="G45" s="20"/>
      <c r="H45" s="24">
        <f>IF(I29=0,0,VLOOKUP($P$3,'[1]Mit-2'!$A$65:$P$79,5,FALSE))</f>
        <v>0</v>
      </c>
      <c r="I45" s="155">
        <f>IF($I$9="",ROUND(IF($I$29=0,0,-H45/D45),2),-Steuern!J46)</f>
        <v>0</v>
      </c>
      <c r="J45" s="306">
        <v>27</v>
      </c>
      <c r="K45" s="412"/>
      <c r="L45" s="413"/>
      <c r="M45" s="413"/>
      <c r="N45" s="413"/>
      <c r="O45" s="414"/>
      <c r="P45" s="6"/>
      <c r="Q45" s="78">
        <f>[1]Tab!E9</f>
        <v>1250.01</v>
      </c>
      <c r="R45" s="74">
        <f>[1]Tab!F9</f>
        <v>2333.33</v>
      </c>
      <c r="S45" s="75">
        <f>[1]Tab!G9</f>
        <v>0.23</v>
      </c>
      <c r="T45" s="76">
        <f>ROUND((R45-Q45)*S45+T44,2)</f>
        <v>536.66</v>
      </c>
      <c r="U45" s="76">
        <f ca="1">ROUND(IF(AND($H$38&lt;=R45,$H$38&gt;=Q45),T44+($H$38-R44)*S45,0),2)</f>
        <v>0</v>
      </c>
      <c r="V45" s="6"/>
      <c r="W45" s="6"/>
      <c r="X45" s="6"/>
      <c r="Y45" s="6"/>
      <c r="Z45" s="6"/>
    </row>
    <row r="46" spans="1:26" ht="12" customHeight="1" x14ac:dyDescent="0.2">
      <c r="A46" s="101" t="s">
        <v>142</v>
      </c>
      <c r="B46" s="13"/>
      <c r="C46" s="14"/>
      <c r="D46" s="12"/>
      <c r="E46" s="580"/>
      <c r="F46" s="581"/>
      <c r="G46" s="112"/>
      <c r="H46" s="113" t="s">
        <v>33</v>
      </c>
      <c r="I46" s="151"/>
      <c r="J46" s="306">
        <v>28</v>
      </c>
      <c r="K46" s="412"/>
      <c r="L46" s="413"/>
      <c r="M46" s="413"/>
      <c r="N46" s="413"/>
      <c r="O46" s="414"/>
      <c r="P46" s="6"/>
      <c r="Q46" s="78">
        <f>[1]Tab!E10</f>
        <v>2333.34</v>
      </c>
      <c r="R46" s="74">
        <f>[1]Tab!F10</f>
        <v>4166.67</v>
      </c>
      <c r="S46" s="75">
        <f>[1]Tab!G10</f>
        <v>0.35</v>
      </c>
      <c r="T46" s="76">
        <f>ROUND((R46-Q46)*S46+T45,2)</f>
        <v>1178.33</v>
      </c>
      <c r="U46" s="76">
        <f ca="1">ROUND(IF(AND($H$38&lt;=R46,$H$38&gt;=Q46),T45+($H$38-R45)*S46,0),2)</f>
        <v>0</v>
      </c>
      <c r="V46" s="6"/>
      <c r="W46" s="6"/>
      <c r="X46" s="6"/>
      <c r="Y46" s="6"/>
      <c r="Z46" s="6"/>
    </row>
    <row r="47" spans="1:26" ht="12" customHeight="1" x14ac:dyDescent="0.2">
      <c r="A47" s="104" t="s">
        <v>114</v>
      </c>
      <c r="B47" s="15"/>
      <c r="C47" s="8"/>
      <c r="D47" s="16"/>
      <c r="E47" s="511"/>
      <c r="F47" s="512"/>
      <c r="G47" s="17"/>
      <c r="H47" s="407"/>
      <c r="I47" s="152">
        <f>-H47</f>
        <v>0</v>
      </c>
      <c r="J47" s="306">
        <v>29</v>
      </c>
      <c r="K47" s="412"/>
      <c r="L47" s="413"/>
      <c r="M47" s="413"/>
      <c r="N47" s="413"/>
      <c r="O47" s="414"/>
      <c r="P47" s="1"/>
      <c r="Q47" s="78">
        <f>[1]Tab!E11</f>
        <v>4166.68</v>
      </c>
      <c r="R47" s="74">
        <f>[1]Tab!F11</f>
        <v>0</v>
      </c>
      <c r="S47" s="75">
        <f>[1]Tab!G11</f>
        <v>0.43</v>
      </c>
      <c r="T47" s="76"/>
      <c r="U47" s="76">
        <f ca="1">ROUND(IF(AND($H$38&lt;=R47,$H$38&gt;=Q47),T46+($H$38-R46)*S47,0),2)</f>
        <v>0</v>
      </c>
      <c r="V47" s="1"/>
      <c r="W47" s="1"/>
      <c r="X47" s="1"/>
      <c r="Y47" s="1"/>
      <c r="Z47" s="1"/>
    </row>
    <row r="48" spans="1:26" ht="12" customHeight="1" x14ac:dyDescent="0.2">
      <c r="A48" s="224" t="s">
        <v>115</v>
      </c>
      <c r="B48" s="225"/>
      <c r="C48" s="226" t="s">
        <v>49</v>
      </c>
      <c r="D48" s="227">
        <v>11</v>
      </c>
      <c r="E48" s="578"/>
      <c r="F48" s="579"/>
      <c r="G48" s="228"/>
      <c r="H48" s="339">
        <f>IF(I29=0,0,VLOOKUP($P$3,'[1]Mit-2'!$A$65:$AD$79,19,FALSE))</f>
        <v>0</v>
      </c>
      <c r="I48" s="155">
        <f>IF($I$9="",ROUND(IF($I$29=0,0,-H48/D48),2),-Steuern!N46)</f>
        <v>0</v>
      </c>
      <c r="J48" s="306">
        <v>30</v>
      </c>
      <c r="K48" s="412"/>
      <c r="L48" s="413"/>
      <c r="M48" s="413"/>
      <c r="N48" s="413"/>
      <c r="O48" s="414"/>
      <c r="P48" s="1"/>
      <c r="Q48" s="78">
        <f>[1]Tab!E12</f>
        <v>0</v>
      </c>
      <c r="R48" s="74"/>
      <c r="S48" s="75">
        <f>[1]Tab!G12</f>
        <v>0</v>
      </c>
      <c r="T48" s="77"/>
      <c r="U48" s="76">
        <f ca="1">ROUND(IF($H$38&gt;R47,T47+($H$38-R47)*S48,0),2)</f>
        <v>0</v>
      </c>
      <c r="V48" s="1"/>
      <c r="W48" s="1"/>
      <c r="X48" s="1"/>
      <c r="Y48" s="1"/>
      <c r="Z48" s="1"/>
    </row>
    <row r="49" spans="1:26" ht="12" customHeight="1" x14ac:dyDescent="0.2">
      <c r="A49" s="110" t="s">
        <v>147</v>
      </c>
      <c r="B49" s="231">
        <v>0.3</v>
      </c>
      <c r="C49" s="232">
        <f>H48</f>
        <v>0</v>
      </c>
      <c r="D49" s="233">
        <f>ROUND(C49*B49,2)</f>
        <v>0</v>
      </c>
      <c r="E49" s="514"/>
      <c r="F49" s="515"/>
      <c r="G49" s="234" t="s">
        <v>243</v>
      </c>
      <c r="H49" s="235">
        <v>9</v>
      </c>
      <c r="I49" s="393">
        <f>IF($I$9="",ROUND(IF($I$29=0,0,-D49/H49),2),-Steuern!R47)</f>
        <v>0</v>
      </c>
      <c r="J49" s="310">
        <v>31</v>
      </c>
      <c r="K49" s="412"/>
      <c r="L49" s="413"/>
      <c r="M49" s="413"/>
      <c r="N49" s="413"/>
      <c r="O49" s="414"/>
      <c r="P49" s="1"/>
      <c r="Q49" s="78">
        <f>[1]Tab!E13</f>
        <v>0</v>
      </c>
      <c r="R49" s="74"/>
      <c r="S49" s="75">
        <f>[1]Tab!G13</f>
        <v>0</v>
      </c>
      <c r="T49" s="77"/>
      <c r="U49" s="76">
        <f ca="1">ROUND(IF($H$38&gt;R48,T48+($H$38-R48)*S49,0),2)</f>
        <v>0</v>
      </c>
      <c r="V49" s="1"/>
      <c r="W49" s="1"/>
      <c r="X49" s="1"/>
      <c r="Y49" s="1"/>
      <c r="Z49" s="1"/>
    </row>
    <row r="50" spans="1:26" ht="12" customHeight="1" x14ac:dyDescent="0.2">
      <c r="A50" s="109" t="s">
        <v>139</v>
      </c>
      <c r="B50" s="21"/>
      <c r="C50" s="114" t="s">
        <v>34</v>
      </c>
      <c r="D50" s="114" t="s">
        <v>160</v>
      </c>
      <c r="E50" s="509" t="s">
        <v>161</v>
      </c>
      <c r="F50" s="510"/>
      <c r="G50" s="114" t="s">
        <v>162</v>
      </c>
      <c r="H50" s="230" t="s">
        <v>36</v>
      </c>
      <c r="I50" s="156"/>
      <c r="J50" s="311"/>
      <c r="K50" s="500">
        <f>SUM(K19:K49)</f>
        <v>0</v>
      </c>
      <c r="L50" s="496">
        <f>SUM(L19:L49)</f>
        <v>0</v>
      </c>
      <c r="M50" s="496">
        <f>SUM(M19:M49)</f>
        <v>0</v>
      </c>
      <c r="N50" s="496">
        <f>SUM(N19:N49)</f>
        <v>0</v>
      </c>
      <c r="O50" s="502">
        <f>SUM(O19:O49)</f>
        <v>0</v>
      </c>
      <c r="P50" s="6"/>
      <c r="Q50" s="208" t="s">
        <v>8</v>
      </c>
      <c r="R50" s="209"/>
      <c r="S50" s="79"/>
      <c r="T50" s="64"/>
      <c r="U50" s="80">
        <f ca="1">ROUND(SUM(U44:U47),2)</f>
        <v>0</v>
      </c>
      <c r="V50" s="6"/>
      <c r="W50" s="6"/>
      <c r="X50" s="6"/>
      <c r="Y50" s="6"/>
      <c r="Z50" s="6"/>
    </row>
    <row r="51" spans="1:26" ht="12" customHeight="1" x14ac:dyDescent="0.2">
      <c r="A51" s="104" t="s">
        <v>117</v>
      </c>
      <c r="B51" s="22"/>
      <c r="C51" s="60">
        <f>IF(I29=0,0,Steuern!J78)</f>
        <v>0</v>
      </c>
      <c r="D51" s="60">
        <f>IF(I29=0,0,Steuern!L78)</f>
        <v>0</v>
      </c>
      <c r="E51" s="511">
        <f>IF(I29=0,0,Steuern!N78)</f>
        <v>0</v>
      </c>
      <c r="F51" s="512"/>
      <c r="G51" s="60">
        <f>IF(I29=0,0,Steuern!P78)</f>
        <v>0</v>
      </c>
      <c r="H51" s="67">
        <f>IF(I29=0,0,Steuern!R78)</f>
        <v>0</v>
      </c>
      <c r="I51" s="156"/>
      <c r="J51" s="309"/>
      <c r="K51" s="501"/>
      <c r="L51" s="497"/>
      <c r="M51" s="497"/>
      <c r="N51" s="497"/>
      <c r="O51" s="503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</row>
    <row r="52" spans="1:26" ht="12" customHeight="1" x14ac:dyDescent="0.2">
      <c r="A52" s="110" t="s">
        <v>138</v>
      </c>
      <c r="B52" s="23"/>
      <c r="C52" s="68">
        <f>IF($I$9="",0,Steuern!J89)</f>
        <v>0</v>
      </c>
      <c r="D52" s="68">
        <f>U60</f>
        <v>0</v>
      </c>
      <c r="E52" s="520">
        <f>IF($I$9="",0,conguaglio!F60)</f>
        <v>0</v>
      </c>
      <c r="F52" s="521"/>
      <c r="G52" s="50">
        <f>IF($I$9="",0,conguaglio!G63)</f>
        <v>0</v>
      </c>
      <c r="H52" s="312">
        <f>IF((D52-E52-G52)&lt;0,0,D52-E52-G52)</f>
        <v>0</v>
      </c>
      <c r="I52" s="153">
        <f>IF($I$9="",0,H51-H52)</f>
        <v>0</v>
      </c>
      <c r="J52" s="504" t="s">
        <v>230</v>
      </c>
      <c r="K52" s="505"/>
      <c r="L52" s="505"/>
      <c r="M52" s="505"/>
      <c r="N52" s="505"/>
      <c r="O52" s="506"/>
      <c r="P52" s="6"/>
      <c r="Q52" s="6"/>
      <c r="R52" s="6"/>
      <c r="S52" s="6"/>
      <c r="T52" s="66"/>
      <c r="U52" s="6"/>
      <c r="V52" s="6"/>
      <c r="W52" s="6"/>
      <c r="X52" s="6"/>
      <c r="Y52" s="6"/>
      <c r="Z52" s="6"/>
    </row>
    <row r="53" spans="1:26" ht="12" customHeight="1" x14ac:dyDescent="0.2">
      <c r="A53" s="119" t="s">
        <v>119</v>
      </c>
      <c r="B53" s="26"/>
      <c r="C53" s="26"/>
      <c r="D53" s="26"/>
      <c r="E53" s="26"/>
      <c r="F53" s="26"/>
      <c r="G53" s="26"/>
      <c r="H53" s="26"/>
      <c r="I53" s="154">
        <f ca="1">SUM(I29:I52)</f>
        <v>0</v>
      </c>
      <c r="J53" s="307"/>
      <c r="O53" s="134"/>
      <c r="P53" s="3"/>
      <c r="Q53" s="492" t="s">
        <v>6</v>
      </c>
      <c r="R53" s="493"/>
      <c r="S53" s="494" t="s">
        <v>7</v>
      </c>
      <c r="T53" s="498" t="s">
        <v>5</v>
      </c>
      <c r="U53" s="490" t="s">
        <v>2</v>
      </c>
      <c r="V53" s="3"/>
      <c r="W53" s="3"/>
      <c r="X53" s="3"/>
      <c r="Y53" s="3"/>
      <c r="Z53" s="3"/>
    </row>
    <row r="54" spans="1:26" ht="12" customHeight="1" x14ac:dyDescent="0.2">
      <c r="A54" s="115" t="s">
        <v>120</v>
      </c>
      <c r="B54" s="95" t="s">
        <v>124</v>
      </c>
      <c r="C54" s="191">
        <f>IF($I$9="",0,VLOOKUP($P$3,'[1]Mit-1'!$A$5:$AD$19,22,FALSE))</f>
        <v>0</v>
      </c>
      <c r="D54" s="95" t="s">
        <v>38</v>
      </c>
      <c r="E54" s="522">
        <f>ROUND(IF($I$9="",0,Steuern!$D$89/13.5),2)</f>
        <v>0</v>
      </c>
      <c r="F54" s="523"/>
      <c r="G54" s="95" t="s">
        <v>40</v>
      </c>
      <c r="H54" s="192">
        <f>IF($I$9="",0,Steuern!$F$89)</f>
        <v>0</v>
      </c>
      <c r="I54" s="398">
        <f>C54+E54-H54</f>
        <v>0</v>
      </c>
      <c r="J54" s="568"/>
      <c r="K54" s="476"/>
      <c r="L54" s="476"/>
      <c r="M54" s="476"/>
      <c r="N54" s="476"/>
      <c r="O54" s="477"/>
      <c r="Q54" s="81" t="s">
        <v>0</v>
      </c>
      <c r="R54" s="82" t="s">
        <v>1</v>
      </c>
      <c r="S54" s="495"/>
      <c r="T54" s="499"/>
      <c r="U54" s="491"/>
      <c r="V54" s="1"/>
      <c r="W54" s="1"/>
      <c r="X54" s="1"/>
    </row>
    <row r="55" spans="1:26" ht="15" customHeight="1" x14ac:dyDescent="0.2">
      <c r="A55" s="116" t="s">
        <v>121</v>
      </c>
      <c r="B55" s="117" t="s">
        <v>37</v>
      </c>
      <c r="C55" s="405"/>
      <c r="D55" s="117" t="s">
        <v>39</v>
      </c>
      <c r="E55" s="524"/>
      <c r="F55" s="525"/>
      <c r="G55" s="117" t="s">
        <v>35</v>
      </c>
      <c r="H55" s="407"/>
      <c r="I55" s="399">
        <f>-(E55-H55)</f>
        <v>0</v>
      </c>
      <c r="J55" s="402"/>
      <c r="K55" s="401"/>
      <c r="L55" s="401"/>
      <c r="M55" s="401"/>
      <c r="N55" s="572"/>
      <c r="O55" s="573"/>
      <c r="Q55" s="78">
        <f>[1]Tab!A8</f>
        <v>0</v>
      </c>
      <c r="R55" s="74">
        <f>[1]Tab!D8</f>
        <v>15000</v>
      </c>
      <c r="S55" s="75">
        <f>S44</f>
        <v>0.23</v>
      </c>
      <c r="T55" s="76">
        <f>ROUND(R55*S55,2)</f>
        <v>3450</v>
      </c>
      <c r="U55" s="76">
        <f>ROUND(IF(AND($C$52&lt;=R55,C52&gt;0),$C$52*S55,0),2)</f>
        <v>0</v>
      </c>
      <c r="V55" s="1"/>
      <c r="W55" s="1"/>
      <c r="X55" s="1"/>
    </row>
    <row r="56" spans="1:26" ht="16.899999999999999" customHeight="1" x14ac:dyDescent="0.2">
      <c r="A56" s="453" t="s">
        <v>122</v>
      </c>
      <c r="B56" s="118" t="s">
        <v>125</v>
      </c>
      <c r="C56" s="454">
        <f>ROUND(C54*'[1]Mit-2'!$E$84%,2)</f>
        <v>0</v>
      </c>
      <c r="D56" s="118" t="s">
        <v>262</v>
      </c>
      <c r="E56" s="520">
        <f>ROUND(C56*[1]Tab!$G$142,2)</f>
        <v>0</v>
      </c>
      <c r="F56" s="521"/>
      <c r="G56" s="455"/>
      <c r="H56" s="456"/>
      <c r="I56" s="153">
        <f>C56-E56</f>
        <v>0</v>
      </c>
      <c r="J56" s="402"/>
      <c r="K56" s="401"/>
      <c r="L56" s="401"/>
      <c r="M56" s="401"/>
      <c r="N56" s="572"/>
      <c r="O56" s="573"/>
      <c r="Q56" s="78">
        <f>[1]Tab!A9</f>
        <v>15000.01</v>
      </c>
      <c r="R56" s="74">
        <f>[1]Tab!D9</f>
        <v>28000</v>
      </c>
      <c r="S56" s="75">
        <f>S45</f>
        <v>0.23</v>
      </c>
      <c r="T56" s="76">
        <f>ROUND((R56-Q56)*S56+T55,2)</f>
        <v>6440</v>
      </c>
      <c r="U56" s="76">
        <f>ROUND(IF(AND($C$52&lt;=R56,$C$52&gt;=Q56),T55+($C$52-R55)*S56,0),2)</f>
        <v>0</v>
      </c>
    </row>
    <row r="57" spans="1:26" ht="12.75" customHeight="1" x14ac:dyDescent="0.2">
      <c r="A57" s="448" t="s">
        <v>242</v>
      </c>
      <c r="B57" s="449"/>
      <c r="C57" s="449"/>
      <c r="D57" s="450"/>
      <c r="E57" s="518"/>
      <c r="F57" s="518"/>
      <c r="G57" s="450"/>
      <c r="H57" s="451"/>
      <c r="I57" s="452">
        <f ca="1">ROUND(IF(SUM(H39:H40)&gt;=0,0,VLOOKUP($P$3,'[1]Mit-1'!$A$5:$AC$19,20,FALSE)/[1]Firma!$C$24*IF(R9=0,T9,R9)),2)</f>
        <v>0</v>
      </c>
      <c r="J57" s="569"/>
      <c r="K57" s="570"/>
      <c r="L57" s="570"/>
      <c r="M57" s="570"/>
      <c r="N57" s="570"/>
      <c r="O57" s="571"/>
      <c r="P57" s="3"/>
      <c r="Q57" s="78">
        <f>[1]Tab!A10</f>
        <v>28000.01</v>
      </c>
      <c r="R57" s="74">
        <f>[1]Tab!D10</f>
        <v>50000</v>
      </c>
      <c r="S57" s="75">
        <f>S46</f>
        <v>0.35</v>
      </c>
      <c r="T57" s="76">
        <f>ROUND((R57-Q57)*S57+T56,2)</f>
        <v>14140</v>
      </c>
      <c r="U57" s="76">
        <f>ROUND(IF(AND($C$52&lt;=R57,$C$52&gt;=Q57),T56+($C$52-R56)*S57,0),2)</f>
        <v>0</v>
      </c>
      <c r="V57" s="3"/>
      <c r="W57" s="3"/>
      <c r="X57" s="3"/>
      <c r="Y57" s="3"/>
      <c r="Z57" s="3"/>
    </row>
    <row r="58" spans="1:26" ht="12.75" customHeight="1" x14ac:dyDescent="0.2">
      <c r="A58" s="465"/>
      <c r="B58" s="466"/>
      <c r="C58" s="466"/>
      <c r="D58" s="467"/>
      <c r="E58" s="519"/>
      <c r="F58" s="519"/>
      <c r="G58" s="467"/>
      <c r="H58" s="468"/>
      <c r="I58" s="469"/>
      <c r="J58" s="402"/>
      <c r="K58" s="401"/>
      <c r="L58" s="401"/>
      <c r="M58" s="401"/>
      <c r="N58" s="572"/>
      <c r="O58" s="573"/>
      <c r="P58" s="3"/>
      <c r="Q58" s="78">
        <f>[1]Tab!A11</f>
        <v>50000.01</v>
      </c>
      <c r="R58" s="74">
        <f>[1]Tab!D11</f>
        <v>0</v>
      </c>
      <c r="S58" s="75">
        <f>S47</f>
        <v>0.43</v>
      </c>
      <c r="T58" s="76"/>
      <c r="U58" s="76">
        <f>ROUND(IF(AND($C$52&lt;=R58,$C$52&gt;=Q58),T57+($C$52-R57)*S58,0),2)</f>
        <v>0</v>
      </c>
      <c r="V58" s="3"/>
      <c r="W58" s="3"/>
      <c r="X58" s="3"/>
      <c r="Y58" s="3"/>
      <c r="Z58" s="3"/>
    </row>
    <row r="59" spans="1:26" ht="12" customHeight="1" x14ac:dyDescent="0.2">
      <c r="A59" s="106" t="s">
        <v>123</v>
      </c>
      <c r="B59" s="8"/>
      <c r="C59" s="49"/>
      <c r="D59" s="117" t="s">
        <v>41</v>
      </c>
      <c r="E59" s="576">
        <f>-'02'!H59</f>
        <v>0</v>
      </c>
      <c r="F59" s="577"/>
      <c r="G59" s="117" t="s">
        <v>42</v>
      </c>
      <c r="H59" s="145">
        <f>IF(I29=0,0,SUM(I60-Q61))</f>
        <v>0</v>
      </c>
      <c r="I59" s="399">
        <f>IF(I29=0,0,SUM(E59,H59))</f>
        <v>0</v>
      </c>
      <c r="J59" s="402"/>
      <c r="K59" s="401"/>
      <c r="L59" s="401"/>
      <c r="M59" s="401"/>
      <c r="N59" s="572"/>
      <c r="O59" s="573"/>
      <c r="P59" s="3"/>
      <c r="Q59" s="78">
        <f>[1]Tab!A12</f>
        <v>0</v>
      </c>
      <c r="R59" s="74"/>
      <c r="S59" s="75">
        <f>S48</f>
        <v>0</v>
      </c>
      <c r="T59" s="77"/>
      <c r="U59" s="76">
        <f>ROUND(IF($C$52&gt;R58,T58+($C$52-R58)*S59,0),2)</f>
        <v>0</v>
      </c>
      <c r="V59" s="3"/>
      <c r="W59" s="3"/>
      <c r="X59" s="3"/>
      <c r="Y59" s="3"/>
      <c r="Z59" s="3"/>
    </row>
    <row r="60" spans="1:26" ht="12" customHeight="1" x14ac:dyDescent="0.2">
      <c r="A60" s="319" t="s">
        <v>43</v>
      </c>
      <c r="B60" s="320"/>
      <c r="C60" s="320"/>
      <c r="D60" s="320"/>
      <c r="E60" s="320"/>
      <c r="F60" s="320"/>
      <c r="G60" s="320"/>
      <c r="H60" s="320"/>
      <c r="I60" s="400">
        <f>IF(I29=0,0,ROUNDUP(Q61,0))</f>
        <v>0</v>
      </c>
      <c r="J60" s="403"/>
      <c r="K60" s="404"/>
      <c r="L60" s="404"/>
      <c r="M60" s="404"/>
      <c r="N60" s="566"/>
      <c r="O60" s="567"/>
      <c r="P60" s="6"/>
      <c r="Q60" s="208" t="s">
        <v>8</v>
      </c>
      <c r="R60" s="209"/>
      <c r="S60" s="79"/>
      <c r="T60" s="64"/>
      <c r="U60" s="80">
        <f>ROUND(SUM(U55:U59),2)</f>
        <v>0</v>
      </c>
      <c r="V60" s="6"/>
      <c r="W60" s="6"/>
      <c r="X60" s="6"/>
      <c r="Y60" s="6"/>
      <c r="Z60" s="6"/>
    </row>
    <row r="61" spans="1:26" ht="15" customHeight="1" x14ac:dyDescent="0.2">
      <c r="A61" s="1"/>
      <c r="B61" s="1"/>
      <c r="C61" s="1"/>
      <c r="D61" s="1"/>
      <c r="E61" s="1"/>
      <c r="F61" s="1"/>
      <c r="G61" s="1"/>
      <c r="H61" s="1"/>
      <c r="I61" s="1"/>
      <c r="K61" s="1"/>
      <c r="L61" s="1"/>
      <c r="M61" s="1"/>
      <c r="Q61" s="142">
        <f ca="1">SUM(I53:I58,E59)</f>
        <v>0</v>
      </c>
    </row>
    <row r="62" spans="1:26" x14ac:dyDescent="0.2">
      <c r="Q62" s="142"/>
    </row>
    <row r="63" spans="1:26" ht="15.75" customHeight="1" x14ac:dyDescent="0.2">
      <c r="Q63" s="142"/>
    </row>
    <row r="64" spans="1:26" x14ac:dyDescent="0.2">
      <c r="A64" s="71" t="str">
        <f>'[1]Beschr-Descr.'!A1</f>
        <v xml:space="preserve">Beschreibung Lohnelemente  </v>
      </c>
      <c r="Q64" s="142"/>
    </row>
    <row r="65" spans="1:6" x14ac:dyDescent="0.2">
      <c r="A65" s="71" t="str">
        <f>'[1]Beschr-Descr.'!A2</f>
        <v>Descrizione elementi di retribuzione</v>
      </c>
      <c r="F65" s="71" t="s">
        <v>3</v>
      </c>
    </row>
    <row r="66" spans="1:6" x14ac:dyDescent="0.2">
      <c r="A66" s="84">
        <f>'[1]Beschr-Descr.'!A3</f>
        <v>0</v>
      </c>
      <c r="B66" s="84">
        <f>'[1]Beschr-Descr.'!B3</f>
        <v>0</v>
      </c>
      <c r="C66" s="84">
        <f>'[1]Beschr-Descr.'!C3</f>
        <v>0</v>
      </c>
      <c r="D66" s="84">
        <f>'[1]Beschr-Descr.'!D3</f>
        <v>0</v>
      </c>
      <c r="E66" s="84">
        <f>'[1]Beschr-Descr.'!E3</f>
        <v>0</v>
      </c>
    </row>
    <row r="67" spans="1:6" x14ac:dyDescent="0.2">
      <c r="A67" s="84" t="str">
        <f>'[1]Beschr-Descr.'!A4</f>
        <v>Normalentlohnung</v>
      </c>
      <c r="B67" s="84"/>
      <c r="C67" s="84">
        <f>'[1]Beschr-Descr.'!C4</f>
        <v>0</v>
      </c>
      <c r="D67" s="84">
        <f>'[1]Beschr-Descr.'!D4</f>
        <v>0</v>
      </c>
      <c r="E67" s="207">
        <f>'[1]Beschr-Descr.'!E4</f>
        <v>0</v>
      </c>
      <c r="F67" t="s">
        <v>44</v>
      </c>
    </row>
    <row r="68" spans="1:6" x14ac:dyDescent="0.2">
      <c r="A68" s="84" t="str">
        <f>'[1]Beschr-Descr.'!A5</f>
        <v>Genossener Urlaub</v>
      </c>
      <c r="B68" s="84"/>
      <c r="C68" s="84">
        <f>'[1]Beschr-Descr.'!C5</f>
        <v>0</v>
      </c>
      <c r="D68" s="84">
        <f>'[1]Beschr-Descr.'!D5</f>
        <v>0</v>
      </c>
      <c r="E68" s="207">
        <f>'[1]Beschr-Descr.'!E5</f>
        <v>0</v>
      </c>
      <c r="F68" t="s">
        <v>45</v>
      </c>
    </row>
    <row r="69" spans="1:6" x14ac:dyDescent="0.2">
      <c r="A69" s="84" t="str">
        <f>'[1]Beschr-Descr.'!A6</f>
        <v>Genossene Freistellungen</v>
      </c>
      <c r="B69" s="84"/>
      <c r="C69" s="84">
        <f>'[1]Beschr-Descr.'!C6</f>
        <v>0</v>
      </c>
      <c r="D69" s="84">
        <f>'[1]Beschr-Descr.'!D6</f>
        <v>0</v>
      </c>
      <c r="E69" s="207">
        <f>'[1]Beschr-Descr.'!E6</f>
        <v>0</v>
      </c>
      <c r="F69" t="s">
        <v>46</v>
      </c>
    </row>
    <row r="70" spans="1:6" x14ac:dyDescent="0.2">
      <c r="A70" s="84" t="str">
        <f>'[1]Beschr-Descr.'!A7</f>
        <v>Nicht genossener Urlaub</v>
      </c>
      <c r="B70" s="84"/>
      <c r="C70" s="84">
        <f>'[1]Beschr-Descr.'!C7</f>
        <v>0</v>
      </c>
      <c r="D70" s="84">
        <f>'[1]Beschr-Descr.'!D7</f>
        <v>0</v>
      </c>
      <c r="E70" s="207">
        <f>'[1]Beschr-Descr.'!E7</f>
        <v>0</v>
      </c>
    </row>
    <row r="71" spans="1:6" x14ac:dyDescent="0.2">
      <c r="A71" s="84" t="str">
        <f>'[1]Beschr-Descr.'!A8</f>
        <v>Nicht genossene Freistellungen</v>
      </c>
      <c r="B71" s="84"/>
      <c r="C71" s="84">
        <f>'[1]Beschr-Descr.'!C8</f>
        <v>0</v>
      </c>
      <c r="D71" s="84">
        <f>'[1]Beschr-Descr.'!D8</f>
        <v>0</v>
      </c>
      <c r="E71" s="207">
        <f>'[1]Beschr-Descr.'!E8</f>
        <v>0</v>
      </c>
    </row>
    <row r="72" spans="1:6" x14ac:dyDescent="0.2">
      <c r="A72" s="84" t="str">
        <f>'[1]Beschr-Descr.'!A9</f>
        <v>Nicht genossene Feiertage</v>
      </c>
      <c r="B72" s="84"/>
      <c r="C72" s="84">
        <f>'[1]Beschr-Descr.'!C9</f>
        <v>0</v>
      </c>
      <c r="D72" s="84">
        <f>'[1]Beschr-Descr.'!D9</f>
        <v>0</v>
      </c>
      <c r="E72" s="207">
        <f>'[1]Beschr-Descr.'!E9</f>
        <v>0</v>
      </c>
    </row>
    <row r="73" spans="1:6" x14ac:dyDescent="0.2">
      <c r="A73" s="84" t="str">
        <f>'[1]Beschr-Descr.'!A10</f>
        <v>Zulage für Kassarisiko</v>
      </c>
      <c r="B73" s="84"/>
      <c r="C73" s="84">
        <f>'[1]Beschr-Descr.'!C10</f>
        <v>0</v>
      </c>
      <c r="D73" s="84">
        <f>'[1]Beschr-Descr.'!D10</f>
        <v>0</v>
      </c>
      <c r="E73" s="207">
        <f>'[1]Beschr-Descr.'!E10</f>
        <v>0</v>
      </c>
    </row>
    <row r="74" spans="1:6" x14ac:dyDescent="0.2">
      <c r="A74" s="84">
        <f>'[1]Beschr-Descr.'!A11</f>
        <v>0</v>
      </c>
      <c r="B74" s="84"/>
      <c r="C74" s="84">
        <f>'[1]Beschr-Descr.'!C11</f>
        <v>0</v>
      </c>
      <c r="D74" s="84">
        <f>'[1]Beschr-Descr.'!D11</f>
        <v>0</v>
      </c>
      <c r="E74" s="207">
        <f>'[1]Beschr-Descr.'!E11</f>
        <v>0</v>
      </c>
    </row>
    <row r="75" spans="1:6" x14ac:dyDescent="0.2">
      <c r="A75" s="84" t="str">
        <f>'[1]Beschr-Descr.'!A12</f>
        <v xml:space="preserve">Überstunden 15%  </v>
      </c>
      <c r="B75" s="84"/>
      <c r="C75" s="84">
        <f>'[1]Beschr-Descr.'!C12</f>
        <v>0</v>
      </c>
      <c r="D75" s="84">
        <f>'[1]Beschr-Descr.'!D12</f>
        <v>0</v>
      </c>
      <c r="E75" s="207">
        <f>'[1]Beschr-Descr.'!E12</f>
        <v>0.15</v>
      </c>
    </row>
    <row r="76" spans="1:6" x14ac:dyDescent="0.2">
      <c r="A76" s="84" t="str">
        <f>'[1]Beschr-Descr.'!A13</f>
        <v xml:space="preserve">Überstunden 20%  </v>
      </c>
      <c r="B76" s="84"/>
      <c r="C76" s="84">
        <f>'[1]Beschr-Descr.'!C13</f>
        <v>0</v>
      </c>
      <c r="D76" s="84">
        <f>'[1]Beschr-Descr.'!D13</f>
        <v>0</v>
      </c>
      <c r="E76" s="207">
        <f>'[1]Beschr-Descr.'!E13</f>
        <v>0.2</v>
      </c>
    </row>
    <row r="77" spans="1:6" x14ac:dyDescent="0.2">
      <c r="A77" s="84" t="str">
        <f>'[1]Beschr-Descr.'!A14</f>
        <v xml:space="preserve">Überstunden 30%  </v>
      </c>
      <c r="B77" s="84"/>
      <c r="C77" s="84">
        <f>'[1]Beschr-Descr.'!C14</f>
        <v>0</v>
      </c>
      <c r="D77" s="84">
        <f>'[1]Beschr-Descr.'!D14</f>
        <v>0</v>
      </c>
      <c r="E77" s="207">
        <f>'[1]Beschr-Descr.'!E14</f>
        <v>0.3</v>
      </c>
    </row>
    <row r="78" spans="1:6" x14ac:dyDescent="0.2">
      <c r="A78" s="84" t="str">
        <f>'[1]Beschr-Descr.'!A15</f>
        <v xml:space="preserve">Überstunden 50%  </v>
      </c>
      <c r="B78" s="84"/>
      <c r="C78" s="84">
        <f>'[1]Beschr-Descr.'!C15</f>
        <v>0</v>
      </c>
      <c r="D78" s="84">
        <f>'[1]Beschr-Descr.'!D15</f>
        <v>0</v>
      </c>
      <c r="E78" s="207">
        <f>'[1]Beschr-Descr.'!E15</f>
        <v>0.5</v>
      </c>
    </row>
    <row r="79" spans="1:6" x14ac:dyDescent="0.2">
      <c r="A79" s="84" t="str">
        <f>'[1]Beschr-Descr.'!A16</f>
        <v>Nachtstunden 50%</v>
      </c>
      <c r="B79" s="84"/>
      <c r="C79" s="84">
        <f>'[1]Beschr-Descr.'!C16</f>
        <v>0</v>
      </c>
      <c r="D79" s="84">
        <f>'[1]Beschr-Descr.'!D16</f>
        <v>0</v>
      </c>
      <c r="E79" s="207">
        <f>'[1]Beschr-Descr.'!E16</f>
        <v>0.5</v>
      </c>
    </row>
    <row r="80" spans="1:6" x14ac:dyDescent="0.2">
      <c r="A80" s="84">
        <f>'[1]Beschr-Descr.'!A17</f>
        <v>0</v>
      </c>
      <c r="B80" s="84"/>
      <c r="C80" s="84">
        <f>'[1]Beschr-Descr.'!C17</f>
        <v>0</v>
      </c>
      <c r="D80" s="84">
        <f>'[1]Beschr-Descr.'!D17</f>
        <v>0</v>
      </c>
      <c r="E80" s="207">
        <f>'[1]Beschr-Descr.'!E17</f>
        <v>0</v>
      </c>
    </row>
    <row r="81" spans="1:5" x14ac:dyDescent="0.2">
      <c r="A81" s="84" t="str">
        <f>'[1]Beschr-Descr.'!A18</f>
        <v>Krankheit gesamt</v>
      </c>
      <c r="B81" s="84"/>
      <c r="C81" s="84">
        <f>'[1]Beschr-Descr.'!C18</f>
        <v>0</v>
      </c>
      <c r="D81" s="84">
        <f>'[1]Beschr-Descr.'!D18</f>
        <v>0</v>
      </c>
      <c r="E81" s="207">
        <f>'[1]Beschr-Descr.'!E18</f>
        <v>0</v>
      </c>
    </row>
    <row r="82" spans="1:5" x14ac:dyDescent="0.2">
      <c r="A82" s="84" t="str">
        <f>'[1]Beschr-Descr.'!A19</f>
        <v xml:space="preserve">Krankheit INPS-Anteil 50,00% </v>
      </c>
      <c r="B82" s="84"/>
      <c r="C82" s="84">
        <f>'[1]Beschr-Descr.'!C19</f>
        <v>0</v>
      </c>
      <c r="D82" s="84">
        <f>'[1]Beschr-Descr.'!D19</f>
        <v>0</v>
      </c>
      <c r="E82" s="207">
        <f>'[1]Beschr-Descr.'!E19</f>
        <v>-0.5</v>
      </c>
    </row>
    <row r="83" spans="1:5" x14ac:dyDescent="0.2">
      <c r="A83" s="84" t="str">
        <f>'[1]Beschr-Descr.'!A20</f>
        <v xml:space="preserve">Krankheit INPS-Anteil 66,67% </v>
      </c>
      <c r="B83" s="84"/>
      <c r="C83" s="84">
        <f>'[1]Beschr-Descr.'!C20</f>
        <v>0</v>
      </c>
      <c r="D83" s="84">
        <f>'[1]Beschr-Descr.'!D20</f>
        <v>0</v>
      </c>
      <c r="E83" s="207">
        <f>'[1]Beschr-Descr.'!E20</f>
        <v>-0.66669999999999996</v>
      </c>
    </row>
    <row r="84" spans="1:5" x14ac:dyDescent="0.2">
      <c r="A84" s="84" t="str">
        <f>'[1]Beschr-Descr.'!A21</f>
        <v>Mutterschaft Gesamtbetrag</v>
      </c>
      <c r="B84" s="84"/>
      <c r="C84" s="84">
        <f>'[1]Beschr-Descr.'!C21</f>
        <v>0</v>
      </c>
      <c r="D84" s="84">
        <f>'[1]Beschr-Descr.'!D21</f>
        <v>0</v>
      </c>
      <c r="E84" s="207">
        <f>'[1]Beschr-Descr.'!E21</f>
        <v>0</v>
      </c>
    </row>
    <row r="85" spans="1:5" x14ac:dyDescent="0.2">
      <c r="A85" s="84" t="str">
        <f>'[1]Beschr-Descr.'!A22</f>
        <v>Mutterschaft INPS-Anteil 80,00%</v>
      </c>
      <c r="B85" s="84"/>
      <c r="C85" s="84">
        <f>'[1]Beschr-Descr.'!C22</f>
        <v>0</v>
      </c>
      <c r="D85" s="84">
        <f>'[1]Beschr-Descr.'!D22</f>
        <v>0</v>
      </c>
      <c r="E85" s="207">
        <f>'[1]Beschr-Descr.'!E22</f>
        <v>-0.8</v>
      </c>
    </row>
    <row r="86" spans="1:5" x14ac:dyDescent="0.2">
      <c r="A86" s="84" t="str">
        <f>'[1]Beschr-Descr.'!A23</f>
        <v>Abzug Bruttoberechnung Krankengeld INPS</v>
      </c>
      <c r="B86" s="84"/>
      <c r="C86" s="84">
        <f>'[1]Beschr-Descr.'!C23</f>
        <v>0</v>
      </c>
      <c r="D86" s="84">
        <f>'[1]Beschr-Descr.'!D23</f>
        <v>0</v>
      </c>
      <c r="E86" s="207">
        <f>'[1]Beschr-Descr.'!E23</f>
        <v>0.10120030833608633</v>
      </c>
    </row>
    <row r="87" spans="1:5" x14ac:dyDescent="0.2">
      <c r="A87" s="84">
        <f>'[1]Beschr-Descr.'!A24</f>
        <v>0</v>
      </c>
      <c r="B87" s="84"/>
      <c r="C87" s="84">
        <f>'[1]Beschr-Descr.'!C24</f>
        <v>0</v>
      </c>
      <c r="D87" s="84">
        <f>'[1]Beschr-Descr.'!D24</f>
        <v>0</v>
      </c>
      <c r="E87" s="207">
        <f>'[1]Beschr-Descr.'!E24</f>
        <v>0</v>
      </c>
    </row>
    <row r="88" spans="1:5" x14ac:dyDescent="0.2">
      <c r="A88" s="84" t="str">
        <f>'[1]Beschr-Descr.'!A25</f>
        <v xml:space="preserve">13. Monatsgehalt  </v>
      </c>
      <c r="B88" s="84"/>
      <c r="C88" s="84">
        <f>'[1]Beschr-Descr.'!C25</f>
        <v>0</v>
      </c>
      <c r="D88" s="84">
        <f>'[1]Beschr-Descr.'!D25</f>
        <v>0</v>
      </c>
      <c r="E88" s="207">
        <f>'[1]Beschr-Descr.'!E25</f>
        <v>0</v>
      </c>
    </row>
    <row r="89" spans="1:5" x14ac:dyDescent="0.2">
      <c r="A89" s="84" t="str">
        <f>'[1]Beschr-Descr.'!A26</f>
        <v xml:space="preserve">14. Monatsgehalt  </v>
      </c>
      <c r="B89" s="84"/>
      <c r="C89" s="84">
        <f>'[1]Beschr-Descr.'!C26</f>
        <v>0</v>
      </c>
      <c r="D89" s="84">
        <f>'[1]Beschr-Descr.'!D26</f>
        <v>0</v>
      </c>
      <c r="E89" s="207">
        <f>'[1]Beschr-Descr.'!E26</f>
        <v>0</v>
      </c>
    </row>
    <row r="90" spans="1:5" x14ac:dyDescent="0.2">
      <c r="A90" s="84" t="str">
        <f>'[1]Beschr-Descr.'!A27</f>
        <v xml:space="preserve">Nichteinhaltung Kündigungsfrist  </v>
      </c>
      <c r="B90" s="84"/>
      <c r="C90" s="84">
        <f>'[1]Beschr-Descr.'!C27</f>
        <v>0</v>
      </c>
      <c r="D90" s="84">
        <f>'[1]Beschr-Descr.'!D27</f>
        <v>0</v>
      </c>
      <c r="E90" s="207">
        <f>'[1]Beschr-Descr.'!E27</f>
        <v>0</v>
      </c>
    </row>
    <row r="91" spans="1:5" x14ac:dyDescent="0.2">
      <c r="A91" s="84" t="str">
        <f>'[1]Beschr-Descr.'!A28</f>
        <v>Una Tantum</v>
      </c>
      <c r="B91" s="84"/>
      <c r="C91" s="84">
        <f>'[1]Beschr-Descr.'!C28</f>
        <v>0</v>
      </c>
      <c r="D91" s="84">
        <f>'[1]Beschr-Descr.'!D28</f>
        <v>0</v>
      </c>
      <c r="E91" s="207">
        <f>'[1]Beschr-Descr.'!E28</f>
        <v>0</v>
      </c>
    </row>
    <row r="92" spans="1:5" x14ac:dyDescent="0.2">
      <c r="A92" s="84" t="str">
        <f>'[1]Beschr-Descr.'!A29</f>
        <v>Prämie</v>
      </c>
      <c r="B92" s="84"/>
      <c r="C92" s="84">
        <f>'[1]Beschr-Descr.'!C29</f>
        <v>0</v>
      </c>
      <c r="D92" s="84">
        <f>'[1]Beschr-Descr.'!D29</f>
        <v>0</v>
      </c>
      <c r="E92" s="207">
        <f>'[1]Beschr-Descr.'!E29</f>
        <v>0</v>
      </c>
    </row>
    <row r="93" spans="1:5" x14ac:dyDescent="0.2">
      <c r="A93" s="84">
        <f>'[1]Beschr-Descr.'!A30</f>
        <v>0</v>
      </c>
      <c r="B93" s="84"/>
      <c r="C93" s="84">
        <f>'[1]Beschr-Descr.'!C30</f>
        <v>0</v>
      </c>
      <c r="D93" s="84">
        <f>'[1]Beschr-Descr.'!D30</f>
        <v>0</v>
      </c>
      <c r="E93" s="207">
        <f>'[1]Beschr-Descr.'!E30</f>
        <v>0</v>
      </c>
    </row>
    <row r="94" spans="1:5" x14ac:dyDescent="0.2">
      <c r="A94" s="84">
        <f>'[1]Beschr-Descr.'!A31</f>
        <v>0</v>
      </c>
      <c r="B94" s="84"/>
      <c r="C94" s="84">
        <f>'[1]Beschr-Descr.'!C31</f>
        <v>0</v>
      </c>
      <c r="D94" s="84">
        <f>'[1]Beschr-Descr.'!D31</f>
        <v>0</v>
      </c>
      <c r="E94" s="207">
        <f>'[1]Beschr-Descr.'!E31</f>
        <v>0</v>
      </c>
    </row>
    <row r="95" spans="1:5" x14ac:dyDescent="0.2">
      <c r="A95" s="84" t="str">
        <f>'[1]Beschr-Descr.'!A32</f>
        <v xml:space="preserve">Retribuzione ordinaria </v>
      </c>
      <c r="B95" s="84"/>
      <c r="C95" s="84">
        <f>'[1]Beschr-Descr.'!C32</f>
        <v>0</v>
      </c>
      <c r="D95" s="84">
        <f>'[1]Beschr-Descr.'!D32</f>
        <v>0</v>
      </c>
      <c r="E95" s="207">
        <f>'[1]Beschr-Descr.'!E32</f>
        <v>0</v>
      </c>
    </row>
    <row r="96" spans="1:5" x14ac:dyDescent="0.2">
      <c r="A96" s="84" t="str">
        <f>'[1]Beschr-Descr.'!A33</f>
        <v>Ferie godute</v>
      </c>
      <c r="B96" s="84"/>
      <c r="C96" s="84">
        <f>'[1]Beschr-Descr.'!C33</f>
        <v>0</v>
      </c>
      <c r="D96" s="84">
        <f>'[1]Beschr-Descr.'!D33</f>
        <v>0</v>
      </c>
      <c r="E96" s="207">
        <f>'[1]Beschr-Descr.'!E33</f>
        <v>0</v>
      </c>
    </row>
    <row r="97" spans="1:5" x14ac:dyDescent="0.2">
      <c r="A97" s="84" t="str">
        <f>'[1]Beschr-Descr.'!A34</f>
        <v>Permessi goduti</v>
      </c>
      <c r="B97" s="84"/>
      <c r="C97" s="84">
        <f>'[1]Beschr-Descr.'!C34</f>
        <v>0</v>
      </c>
      <c r="D97" s="84">
        <f>'[1]Beschr-Descr.'!D34</f>
        <v>0</v>
      </c>
      <c r="E97" s="207">
        <f>'[1]Beschr-Descr.'!E34</f>
        <v>0</v>
      </c>
    </row>
    <row r="98" spans="1:5" x14ac:dyDescent="0.2">
      <c r="A98" s="84" t="str">
        <f>'[1]Beschr-Descr.'!A35</f>
        <v>Ferie non godute</v>
      </c>
      <c r="B98" s="84"/>
      <c r="C98" s="84">
        <f>'[1]Beschr-Descr.'!C35</f>
        <v>0</v>
      </c>
      <c r="D98" s="84">
        <f>'[1]Beschr-Descr.'!D35</f>
        <v>0</v>
      </c>
      <c r="E98" s="207">
        <f>'[1]Beschr-Descr.'!E35</f>
        <v>0</v>
      </c>
    </row>
    <row r="99" spans="1:5" x14ac:dyDescent="0.2">
      <c r="A99" s="84" t="str">
        <f>'[1]Beschr-Descr.'!A36</f>
        <v>Ferie non godute</v>
      </c>
      <c r="B99" s="84"/>
      <c r="C99" s="84">
        <f>'[1]Beschr-Descr.'!C36</f>
        <v>0</v>
      </c>
      <c r="D99" s="84">
        <f>'[1]Beschr-Descr.'!D36</f>
        <v>0</v>
      </c>
      <c r="E99" s="207">
        <f>'[1]Beschr-Descr.'!E36</f>
        <v>0</v>
      </c>
    </row>
    <row r="100" spans="1:5" x14ac:dyDescent="0.2">
      <c r="A100" s="84" t="str">
        <f>'[1]Beschr-Descr.'!A37</f>
        <v>Festività non godute</v>
      </c>
      <c r="B100" s="84"/>
      <c r="C100" s="84">
        <f>'[1]Beschr-Descr.'!C37</f>
        <v>0</v>
      </c>
      <c r="D100" s="84">
        <f>'[1]Beschr-Descr.'!D37</f>
        <v>0</v>
      </c>
      <c r="E100" s="207">
        <f>'[1]Beschr-Descr.'!E37</f>
        <v>0</v>
      </c>
    </row>
    <row r="101" spans="1:5" x14ac:dyDescent="0.2">
      <c r="A101" s="84" t="str">
        <f>'[1]Beschr-Descr.'!A38</f>
        <v>Indennità rischio cassa</v>
      </c>
      <c r="B101" s="84"/>
      <c r="C101" s="84">
        <f>'[1]Beschr-Descr.'!C38</f>
        <v>0</v>
      </c>
      <c r="D101" s="84">
        <f>'[1]Beschr-Descr.'!D38</f>
        <v>0</v>
      </c>
      <c r="E101" s="207">
        <f>'[1]Beschr-Descr.'!E38</f>
        <v>0</v>
      </c>
    </row>
    <row r="102" spans="1:5" x14ac:dyDescent="0.2">
      <c r="A102" s="84">
        <f>'[1]Beschr-Descr.'!A39</f>
        <v>0</v>
      </c>
      <c r="B102" s="84"/>
      <c r="C102" s="84">
        <f>'[1]Beschr-Descr.'!C39</f>
        <v>0</v>
      </c>
      <c r="D102" s="84">
        <f>'[1]Beschr-Descr.'!D39</f>
        <v>0</v>
      </c>
      <c r="E102" s="207">
        <f>'[1]Beschr-Descr.'!E39</f>
        <v>0</v>
      </c>
    </row>
    <row r="103" spans="1:5" x14ac:dyDescent="0.2">
      <c r="A103" s="84" t="str">
        <f>'[1]Beschr-Descr.'!A40</f>
        <v>Ore straordinarie 15%</v>
      </c>
      <c r="B103" s="84"/>
      <c r="C103" s="84">
        <f>'[1]Beschr-Descr.'!C40</f>
        <v>0</v>
      </c>
      <c r="D103" s="84">
        <f>'[1]Beschr-Descr.'!D40</f>
        <v>0</v>
      </c>
      <c r="E103" s="207">
        <f>'[1]Beschr-Descr.'!E40</f>
        <v>0.15</v>
      </c>
    </row>
    <row r="104" spans="1:5" x14ac:dyDescent="0.2">
      <c r="A104" s="84" t="str">
        <f>'[1]Beschr-Descr.'!A41</f>
        <v>Ore straordinarie 20%</v>
      </c>
      <c r="B104" s="84"/>
      <c r="C104" s="84">
        <f>'[1]Beschr-Descr.'!C41</f>
        <v>0</v>
      </c>
      <c r="D104" s="84">
        <f>'[1]Beschr-Descr.'!D41</f>
        <v>0</v>
      </c>
      <c r="E104" s="207">
        <f>'[1]Beschr-Descr.'!E41</f>
        <v>0.2</v>
      </c>
    </row>
    <row r="105" spans="1:5" x14ac:dyDescent="0.2">
      <c r="A105" s="84" t="str">
        <f>'[1]Beschr-Descr.'!A42</f>
        <v>Ore straordinarie 30%</v>
      </c>
      <c r="B105" s="84"/>
      <c r="C105" s="84">
        <f>'[1]Beschr-Descr.'!C42</f>
        <v>0</v>
      </c>
      <c r="D105" s="84">
        <f>'[1]Beschr-Descr.'!D42</f>
        <v>0</v>
      </c>
      <c r="E105" s="207">
        <f>'[1]Beschr-Descr.'!E42</f>
        <v>0.3</v>
      </c>
    </row>
    <row r="106" spans="1:5" x14ac:dyDescent="0.2">
      <c r="A106" s="84" t="str">
        <f>'[1]Beschr-Descr.'!A43</f>
        <v>Ore straordinarie 50%</v>
      </c>
      <c r="B106" s="84"/>
      <c r="C106" s="84">
        <f>'[1]Beschr-Descr.'!C43</f>
        <v>0</v>
      </c>
      <c r="D106" s="84">
        <f>'[1]Beschr-Descr.'!D43</f>
        <v>0</v>
      </c>
      <c r="E106" s="207">
        <f>'[1]Beschr-Descr.'!E43</f>
        <v>0.5</v>
      </c>
    </row>
    <row r="107" spans="1:5" x14ac:dyDescent="0.2">
      <c r="A107" s="84" t="str">
        <f>'[1]Beschr-Descr.'!A44</f>
        <v>Ore notturne 50%</v>
      </c>
      <c r="B107" s="84"/>
      <c r="C107" s="84">
        <f>'[1]Beschr-Descr.'!C44</f>
        <v>0</v>
      </c>
      <c r="D107" s="84">
        <f>'[1]Beschr-Descr.'!D44</f>
        <v>0</v>
      </c>
      <c r="E107" s="207">
        <f>'[1]Beschr-Descr.'!E44</f>
        <v>0.5</v>
      </c>
    </row>
    <row r="108" spans="1:5" x14ac:dyDescent="0.2">
      <c r="A108" s="84">
        <f>'[1]Beschr-Descr.'!A45</f>
        <v>0</v>
      </c>
      <c r="B108" s="84"/>
      <c r="C108" s="84">
        <f>'[1]Beschr-Descr.'!C45</f>
        <v>0</v>
      </c>
      <c r="D108" s="84">
        <f>'[1]Beschr-Descr.'!D45</f>
        <v>0</v>
      </c>
      <c r="E108" s="207">
        <f>'[1]Beschr-Descr.'!E45</f>
        <v>0</v>
      </c>
    </row>
    <row r="109" spans="1:5" x14ac:dyDescent="0.2">
      <c r="A109" s="84" t="str">
        <f>'[1]Beschr-Descr.'!A46</f>
        <v>Indennità di malattia totale</v>
      </c>
      <c r="B109" s="84"/>
      <c r="C109" s="84">
        <f>'[1]Beschr-Descr.'!C46</f>
        <v>0</v>
      </c>
      <c r="D109" s="84">
        <f>'[1]Beschr-Descr.'!D46</f>
        <v>0</v>
      </c>
      <c r="E109" s="207">
        <f>'[1]Beschr-Descr.'!E46</f>
        <v>0</v>
      </c>
    </row>
    <row r="110" spans="1:5" x14ac:dyDescent="0.2">
      <c r="A110" s="84" t="str">
        <f>'[1]Beschr-Descr.'!A47</f>
        <v>Indennità di malattia quota INPS 50%</v>
      </c>
      <c r="B110" s="84"/>
      <c r="C110" s="84">
        <f>'[1]Beschr-Descr.'!C47</f>
        <v>0</v>
      </c>
      <c r="D110" s="84">
        <f>'[1]Beschr-Descr.'!D47</f>
        <v>0</v>
      </c>
      <c r="E110" s="207">
        <f>'[1]Beschr-Descr.'!E47</f>
        <v>-0.5</v>
      </c>
    </row>
    <row r="111" spans="1:5" x14ac:dyDescent="0.2">
      <c r="A111" s="84" t="str">
        <f>'[1]Beschr-Descr.'!A48</f>
        <v>Indennità di malattia quota INPS 66,67%</v>
      </c>
      <c r="B111" s="84"/>
      <c r="C111" s="84">
        <f>'[1]Beschr-Descr.'!C48</f>
        <v>0</v>
      </c>
      <c r="D111" s="84">
        <f>'[1]Beschr-Descr.'!D48</f>
        <v>0</v>
      </c>
      <c r="E111" s="207">
        <f>'[1]Beschr-Descr.'!E48</f>
        <v>-0.66669999999999996</v>
      </c>
    </row>
    <row r="112" spans="1:5" x14ac:dyDescent="0.2">
      <c r="A112" s="84" t="str">
        <f>'[1]Beschr-Descr.'!A49</f>
        <v>Indennità di maternità importo totale</v>
      </c>
      <c r="B112" s="84"/>
      <c r="C112" s="84">
        <f>'[1]Beschr-Descr.'!C49</f>
        <v>0</v>
      </c>
      <c r="D112" s="84">
        <f>'[1]Beschr-Descr.'!D49</f>
        <v>0</v>
      </c>
      <c r="E112" s="207">
        <f>'[1]Beschr-Descr.'!E49</f>
        <v>0</v>
      </c>
    </row>
    <row r="113" spans="1:5" x14ac:dyDescent="0.2">
      <c r="A113" s="84" t="str">
        <f>'[1]Beschr-Descr.'!A50</f>
        <v>Indennità di maternità quota INPS 80,00%</v>
      </c>
      <c r="B113" s="84"/>
      <c r="C113" s="84">
        <f>'[1]Beschr-Descr.'!C50</f>
        <v>0</v>
      </c>
      <c r="D113" s="84">
        <f>'[1]Beschr-Descr.'!D50</f>
        <v>0</v>
      </c>
      <c r="E113" s="207">
        <f>'[1]Beschr-Descr.'!E50</f>
        <v>-0.8</v>
      </c>
    </row>
    <row r="114" spans="1:5" x14ac:dyDescent="0.2">
      <c r="A114" s="84" t="str">
        <f>'[1]Beschr-Descr.'!A51</f>
        <v>Lordizzazione indennità malattia quota INPS</v>
      </c>
      <c r="B114" s="84"/>
      <c r="C114" s="84">
        <f>'[1]Beschr-Descr.'!C51</f>
        <v>0</v>
      </c>
      <c r="D114" s="84">
        <f>'[1]Beschr-Descr.'!D51</f>
        <v>0</v>
      </c>
      <c r="E114" s="207">
        <f>'[1]Beschr-Descr.'!E51</f>
        <v>0.1012</v>
      </c>
    </row>
    <row r="115" spans="1:5" x14ac:dyDescent="0.2">
      <c r="A115" s="84">
        <f>'[1]Beschr-Descr.'!A52</f>
        <v>0</v>
      </c>
      <c r="B115" s="84"/>
      <c r="C115" s="84">
        <f>'[1]Beschr-Descr.'!C52</f>
        <v>0</v>
      </c>
      <c r="D115" s="84">
        <f>'[1]Beschr-Descr.'!D52</f>
        <v>0</v>
      </c>
      <c r="E115" s="207">
        <f>'[1]Beschr-Descr.'!E52</f>
        <v>0</v>
      </c>
    </row>
    <row r="116" spans="1:5" x14ac:dyDescent="0.2">
      <c r="A116" s="84" t="str">
        <f>'[1]Beschr-Descr.'!A53</f>
        <v>13a mensilità</v>
      </c>
      <c r="B116" s="84"/>
      <c r="C116" s="84">
        <f>'[1]Beschr-Descr.'!C53</f>
        <v>0</v>
      </c>
      <c r="D116" s="84">
        <f>'[1]Beschr-Descr.'!D53</f>
        <v>0</v>
      </c>
      <c r="E116" s="207">
        <f>'[1]Beschr-Descr.'!E53</f>
        <v>0</v>
      </c>
    </row>
    <row r="117" spans="1:5" x14ac:dyDescent="0.2">
      <c r="A117" s="84" t="str">
        <f>'[1]Beschr-Descr.'!A54</f>
        <v>14a mensilità</v>
      </c>
      <c r="B117" s="84"/>
      <c r="C117" s="84">
        <f>'[1]Beschr-Descr.'!C54</f>
        <v>0</v>
      </c>
      <c r="D117" s="84">
        <f>'[1]Beschr-Descr.'!D54</f>
        <v>0</v>
      </c>
      <c r="E117" s="207">
        <f>'[1]Beschr-Descr.'!E54</f>
        <v>0</v>
      </c>
    </row>
    <row r="118" spans="1:5" x14ac:dyDescent="0.2">
      <c r="A118" s="84" t="str">
        <f>'[1]Beschr-Descr.'!A55</f>
        <v>Mancato rispetto periodo preavviso licenziamento</v>
      </c>
      <c r="B118" s="84"/>
      <c r="C118" s="84">
        <f>'[1]Beschr-Descr.'!C55</f>
        <v>0</v>
      </c>
      <c r="D118" s="84">
        <f>'[1]Beschr-Descr.'!D55</f>
        <v>0</v>
      </c>
      <c r="E118" s="207">
        <f>'[1]Beschr-Descr.'!E55</f>
        <v>0</v>
      </c>
    </row>
    <row r="119" spans="1:5" x14ac:dyDescent="0.2">
      <c r="A119" s="84" t="str">
        <f>'[1]Beschr-Descr.'!A56</f>
        <v>Una Tantum</v>
      </c>
      <c r="B119" s="84"/>
      <c r="C119" s="84">
        <f>'[1]Beschr-Descr.'!C56</f>
        <v>0</v>
      </c>
      <c r="D119" s="84">
        <f>'[1]Beschr-Descr.'!D56</f>
        <v>0</v>
      </c>
      <c r="E119" s="207">
        <f>'[1]Beschr-Descr.'!E56</f>
        <v>0</v>
      </c>
    </row>
    <row r="120" spans="1:5" x14ac:dyDescent="0.2">
      <c r="A120" s="84" t="str">
        <f>'[1]Beschr-Descr.'!A57</f>
        <v>Premio</v>
      </c>
      <c r="B120" s="84"/>
      <c r="C120" s="84">
        <f>'[1]Beschr-Descr.'!C57</f>
        <v>0</v>
      </c>
      <c r="D120" s="84">
        <f>'[1]Beschr-Descr.'!D57</f>
        <v>0</v>
      </c>
      <c r="E120" s="207">
        <f>'[1]Beschr-Descr.'!E57</f>
        <v>0</v>
      </c>
    </row>
    <row r="121" spans="1:5" x14ac:dyDescent="0.2">
      <c r="A121" s="84">
        <f>'[1]Beschr-Descr.'!A58</f>
        <v>0</v>
      </c>
      <c r="B121" s="84"/>
      <c r="C121" s="84">
        <f>'[1]Beschr-Descr.'!C58</f>
        <v>0</v>
      </c>
      <c r="D121" s="84">
        <f>'[1]Beschr-Descr.'!D58</f>
        <v>0</v>
      </c>
      <c r="E121" s="207">
        <f>'[1]Beschr-Descr.'!E58</f>
        <v>0</v>
      </c>
    </row>
    <row r="122" spans="1:5" x14ac:dyDescent="0.2">
      <c r="A122">
        <f>'[1]Beschr-Descr.'!A63</f>
        <v>0</v>
      </c>
    </row>
    <row r="123" spans="1:5" x14ac:dyDescent="0.2">
      <c r="A123">
        <f>'[1]Beschr-Descr.'!A64</f>
        <v>0</v>
      </c>
    </row>
    <row r="124" spans="1:5" x14ac:dyDescent="0.2">
      <c r="A124">
        <f>'[1]Beschr-Descr.'!A65</f>
        <v>0</v>
      </c>
    </row>
    <row r="125" spans="1:5" x14ac:dyDescent="0.2">
      <c r="A125">
        <f>'[1]Beschr-Descr.'!A66</f>
        <v>0</v>
      </c>
    </row>
    <row r="126" spans="1:5" x14ac:dyDescent="0.2">
      <c r="A126">
        <f>'[1]Beschr-Descr.'!A67</f>
        <v>0</v>
      </c>
    </row>
    <row r="127" spans="1:5" x14ac:dyDescent="0.2">
      <c r="A127">
        <f>'[1]Beschr-Descr.'!A68</f>
        <v>0</v>
      </c>
    </row>
    <row r="128" spans="1:5" x14ac:dyDescent="0.2">
      <c r="A128">
        <f>'[1]Beschr-Descr.'!A69</f>
        <v>0</v>
      </c>
    </row>
    <row r="129" spans="1:1" x14ac:dyDescent="0.2">
      <c r="A129">
        <f>'[1]Beschr-Descr.'!A70</f>
        <v>0</v>
      </c>
    </row>
    <row r="130" spans="1:1" x14ac:dyDescent="0.2">
      <c r="A130">
        <f>'[1]Beschr-Descr.'!A71</f>
        <v>0</v>
      </c>
    </row>
    <row r="131" spans="1:1" x14ac:dyDescent="0.2">
      <c r="A131">
        <f>'[1]Beschr-Descr.'!A72</f>
        <v>0</v>
      </c>
    </row>
    <row r="132" spans="1:1" x14ac:dyDescent="0.2">
      <c r="A132">
        <f>'[1]Beschr-Descr.'!A73</f>
        <v>0</v>
      </c>
    </row>
    <row r="133" spans="1:1" x14ac:dyDescent="0.2">
      <c r="A133">
        <f>'[1]Beschr-Descr.'!A74</f>
        <v>0</v>
      </c>
    </row>
    <row r="134" spans="1:1" x14ac:dyDescent="0.2">
      <c r="A134">
        <f>'[1]Beschr-Descr.'!A75</f>
        <v>0</v>
      </c>
    </row>
    <row r="135" spans="1:1" x14ac:dyDescent="0.2">
      <c r="A135">
        <f>'[1]Beschr-Descr.'!A76</f>
        <v>0</v>
      </c>
    </row>
    <row r="136" spans="1:1" x14ac:dyDescent="0.2">
      <c r="A136">
        <f>'[1]Beschr-Descr.'!A77</f>
        <v>0</v>
      </c>
    </row>
    <row r="137" spans="1:1" x14ac:dyDescent="0.2">
      <c r="A137">
        <f>'[1]Beschr-Descr.'!A78</f>
        <v>0</v>
      </c>
    </row>
    <row r="138" spans="1:1" x14ac:dyDescent="0.2">
      <c r="A138">
        <f>'[1]Beschr-Descr.'!A79</f>
        <v>0</v>
      </c>
    </row>
    <row r="139" spans="1:1" x14ac:dyDescent="0.2">
      <c r="A139">
        <f>'[1]Beschr-Descr.'!A80</f>
        <v>0</v>
      </c>
    </row>
    <row r="140" spans="1:1" x14ac:dyDescent="0.2">
      <c r="A140">
        <f>'[1]Beschr-Descr.'!A81</f>
        <v>0</v>
      </c>
    </row>
    <row r="141" spans="1:1" x14ac:dyDescent="0.2">
      <c r="A141">
        <f>'[1]Beschr-Descr.'!A82</f>
        <v>0</v>
      </c>
    </row>
    <row r="142" spans="1:1" x14ac:dyDescent="0.2">
      <c r="A142">
        <f>'[1]Beschr-Descr.'!A83</f>
        <v>0</v>
      </c>
    </row>
    <row r="143" spans="1:1" x14ac:dyDescent="0.2">
      <c r="A143">
        <f>'[1]Beschr-Descr.'!A84</f>
        <v>0</v>
      </c>
    </row>
    <row r="144" spans="1:1" x14ac:dyDescent="0.2">
      <c r="A144">
        <f>'[1]Beschr-Descr.'!A85</f>
        <v>0</v>
      </c>
    </row>
    <row r="145" spans="1:1" x14ac:dyDescent="0.2">
      <c r="A145">
        <f>'[1]Beschr-Descr.'!A86</f>
        <v>0</v>
      </c>
    </row>
    <row r="146" spans="1:1" x14ac:dyDescent="0.2">
      <c r="A146">
        <f>'[1]Beschr-Descr.'!A87</f>
        <v>0</v>
      </c>
    </row>
    <row r="147" spans="1:1" x14ac:dyDescent="0.2">
      <c r="A147">
        <f>'[1]Beschr-Descr.'!A88</f>
        <v>0</v>
      </c>
    </row>
    <row r="148" spans="1:1" x14ac:dyDescent="0.2">
      <c r="A148">
        <f>'[1]Beschr-Descr.'!A89</f>
        <v>0</v>
      </c>
    </row>
    <row r="149" spans="1:1" x14ac:dyDescent="0.2">
      <c r="A149">
        <f>'[1]Beschr-Descr.'!A90</f>
        <v>0</v>
      </c>
    </row>
    <row r="150" spans="1:1" x14ac:dyDescent="0.2">
      <c r="A150">
        <f>'[1]Beschr-Descr.'!A91</f>
        <v>0</v>
      </c>
    </row>
    <row r="151" spans="1:1" x14ac:dyDescent="0.2">
      <c r="A151">
        <f>'[1]Beschr-Descr.'!A92</f>
        <v>0</v>
      </c>
    </row>
    <row r="152" spans="1:1" x14ac:dyDescent="0.2">
      <c r="A152">
        <f>'[1]Beschr-Descr.'!A93</f>
        <v>0</v>
      </c>
    </row>
    <row r="153" spans="1:1" x14ac:dyDescent="0.2">
      <c r="A153">
        <f>'[1]Beschr-Descr.'!A94</f>
        <v>0</v>
      </c>
    </row>
    <row r="154" spans="1:1" x14ac:dyDescent="0.2">
      <c r="A154">
        <f>'[1]Beschr-Descr.'!A95</f>
        <v>0</v>
      </c>
    </row>
    <row r="155" spans="1:1" x14ac:dyDescent="0.2">
      <c r="A155">
        <f>'[1]Beschr-Descr.'!A96</f>
        <v>0</v>
      </c>
    </row>
    <row r="156" spans="1:1" x14ac:dyDescent="0.2">
      <c r="A156">
        <f>'[1]Beschr-Descr.'!A97</f>
        <v>0</v>
      </c>
    </row>
    <row r="157" spans="1:1" x14ac:dyDescent="0.2">
      <c r="A157">
        <f>'[1]Beschr-Descr.'!A98</f>
        <v>0</v>
      </c>
    </row>
    <row r="158" spans="1:1" x14ac:dyDescent="0.2">
      <c r="A158">
        <f>'[1]Beschr-Descr.'!A99</f>
        <v>0</v>
      </c>
    </row>
    <row r="159" spans="1:1" x14ac:dyDescent="0.2">
      <c r="A159">
        <f>'[1]Beschr-Descr.'!A100</f>
        <v>0</v>
      </c>
    </row>
    <row r="160" spans="1:1" x14ac:dyDescent="0.2">
      <c r="A160">
        <f>'[1]Beschr-Descr.'!A101</f>
        <v>0</v>
      </c>
    </row>
    <row r="161" spans="1:1" x14ac:dyDescent="0.2">
      <c r="A161">
        <f>'[1]Beschr-Descr.'!A102</f>
        <v>0</v>
      </c>
    </row>
  </sheetData>
  <mergeCells count="70">
    <mergeCell ref="N60:O60"/>
    <mergeCell ref="J54:O54"/>
    <mergeCell ref="J57:O57"/>
    <mergeCell ref="N55:O55"/>
    <mergeCell ref="N56:O56"/>
    <mergeCell ref="N58:O58"/>
    <mergeCell ref="N59:O59"/>
    <mergeCell ref="U53:U54"/>
    <mergeCell ref="S53:S54"/>
    <mergeCell ref="T53:T54"/>
    <mergeCell ref="S41:S43"/>
    <mergeCell ref="T41:T43"/>
    <mergeCell ref="U41:U43"/>
    <mergeCell ref="E3:F3"/>
    <mergeCell ref="E7:F7"/>
    <mergeCell ref="E5:F5"/>
    <mergeCell ref="E8:F8"/>
    <mergeCell ref="Q53:R53"/>
    <mergeCell ref="Q41:R42"/>
    <mergeCell ref="Q5:S6"/>
    <mergeCell ref="Q7:S8"/>
    <mergeCell ref="Q10:S11"/>
    <mergeCell ref="E43:F43"/>
    <mergeCell ref="E9:F9"/>
    <mergeCell ref="E14:F14"/>
    <mergeCell ref="E15:F15"/>
    <mergeCell ref="E13:F13"/>
    <mergeCell ref="E11:F11"/>
    <mergeCell ref="K50:K51"/>
    <mergeCell ref="A28:C28"/>
    <mergeCell ref="A24:C24"/>
    <mergeCell ref="E52:F52"/>
    <mergeCell ref="A26:C26"/>
    <mergeCell ref="A27:C27"/>
    <mergeCell ref="E45:F45"/>
    <mergeCell ref="E46:F46"/>
    <mergeCell ref="E51:F51"/>
    <mergeCell ref="E49:F49"/>
    <mergeCell ref="E44:F44"/>
    <mergeCell ref="A19:C19"/>
    <mergeCell ref="A20:C20"/>
    <mergeCell ref="A21:C21"/>
    <mergeCell ref="A25:C25"/>
    <mergeCell ref="A22:C22"/>
    <mergeCell ref="A23:C23"/>
    <mergeCell ref="E59:F59"/>
    <mergeCell ref="E54:F54"/>
    <mergeCell ref="E58:F58"/>
    <mergeCell ref="E48:F48"/>
    <mergeCell ref="E50:F50"/>
    <mergeCell ref="E56:F56"/>
    <mergeCell ref="E57:F57"/>
    <mergeCell ref="E55:F55"/>
    <mergeCell ref="E12:F12"/>
    <mergeCell ref="E16:F16"/>
    <mergeCell ref="E47:F47"/>
    <mergeCell ref="E18:F18"/>
    <mergeCell ref="N50:N51"/>
    <mergeCell ref="L10:L18"/>
    <mergeCell ref="L50:L51"/>
    <mergeCell ref="J52:O52"/>
    <mergeCell ref="O50:O51"/>
    <mergeCell ref="J1:O1"/>
    <mergeCell ref="J8:O9"/>
    <mergeCell ref="J10:J18"/>
    <mergeCell ref="K10:K18"/>
    <mergeCell ref="M10:M18"/>
    <mergeCell ref="N10:N18"/>
    <mergeCell ref="O10:O18"/>
    <mergeCell ref="M50:M51"/>
  </mergeCells>
  <phoneticPr fontId="2" type="noConversion"/>
  <dataValidations disablePrompts="1" count="2">
    <dataValidation type="list" allowBlank="1" showInputMessage="1" showErrorMessage="1" sqref="E19:E28" xr:uid="{00000000-0002-0000-0200-000000000000}">
      <formula1>$F$67:$F$70</formula1>
    </dataValidation>
    <dataValidation type="list" allowBlank="1" showInputMessage="1" showErrorMessage="1" sqref="A19:C28" xr:uid="{00000000-0002-0000-0200-000001000000}">
      <formula1>$A$67:$A$149</formula1>
    </dataValidation>
  </dataValidations>
  <printOptions horizontalCentered="1" verticalCentered="1"/>
  <pageMargins left="0.19685039370078741" right="0.19685039370078741" top="0.39370078740157483" bottom="0.39370078740157483" header="0" footer="0.19685039370078741"/>
  <pageSetup paperSize="9" orientation="portrait" r:id="rId1"/>
  <headerFooter alignWithMargins="0">
    <oddFooter>&amp;C&amp;"Calibri,Standard"Lohnberechnung FRINO PRO 2017 von Dr. Friedrich Nöckler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100" r:id="rId4" name="Drop Down 4">
              <controlPr defaultSize="0" print="0" autoLine="0" autoPict="0">
                <anchor moveWithCells="1">
                  <from>
                    <xdr:col>6</xdr:col>
                    <xdr:colOff>0</xdr:colOff>
                    <xdr:row>2</xdr:row>
                    <xdr:rowOff>19050</xdr:rowOff>
                  </from>
                  <to>
                    <xdr:col>8</xdr:col>
                    <xdr:colOff>561975</xdr:colOff>
                    <xdr:row>3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4"/>
  <dimension ref="A1:Z161"/>
  <sheetViews>
    <sheetView showGridLines="0" showZeros="0" zoomScaleNormal="100" workbookViewId="0"/>
  </sheetViews>
  <sheetFormatPr baseColWidth="10" defaultColWidth="11.5703125" defaultRowHeight="12.75" x14ac:dyDescent="0.2"/>
  <cols>
    <col min="1" max="1" width="11.28515625" customWidth="1"/>
    <col min="2" max="2" width="11.7109375" customWidth="1"/>
    <col min="3" max="3" width="10.85546875" customWidth="1"/>
    <col min="4" max="4" width="11.28515625" customWidth="1"/>
    <col min="5" max="5" width="5.42578125" customWidth="1"/>
    <col min="6" max="6" width="6" customWidth="1"/>
    <col min="7" max="7" width="11.140625" customWidth="1"/>
    <col min="8" max="8" width="9.85546875" customWidth="1"/>
    <col min="9" max="9" width="9.140625" customWidth="1"/>
    <col min="10" max="10" width="2.5703125" style="277" customWidth="1"/>
    <col min="11" max="15" width="2.140625" customWidth="1"/>
    <col min="16" max="16" width="2.28515625" customWidth="1"/>
    <col min="17" max="17" width="11.28515625" customWidth="1"/>
    <col min="18" max="18" width="10.7109375" customWidth="1"/>
    <col min="19" max="19" width="9" bestFit="1" customWidth="1"/>
    <col min="20" max="20" width="11.28515625" bestFit="1" customWidth="1"/>
    <col min="21" max="21" width="8.5703125" bestFit="1" customWidth="1"/>
    <col min="22" max="22" width="9.5703125" customWidth="1"/>
    <col min="23" max="24" width="10.7109375" customWidth="1"/>
  </cols>
  <sheetData>
    <row r="1" spans="1:26" s="144" customFormat="1" ht="16.5" customHeight="1" x14ac:dyDescent="0.2">
      <c r="A1" s="316" t="s">
        <v>106</v>
      </c>
      <c r="B1" s="317"/>
      <c r="C1" s="317"/>
      <c r="D1" s="317"/>
      <c r="E1" s="317"/>
      <c r="F1" s="317"/>
      <c r="G1" s="317"/>
      <c r="H1" s="317"/>
      <c r="I1" s="318" t="s">
        <v>47</v>
      </c>
      <c r="J1" s="473">
        <f>[1]Firma!$A$13</f>
        <v>45383</v>
      </c>
      <c r="K1" s="473"/>
      <c r="L1" s="473"/>
      <c r="M1" s="473"/>
      <c r="N1" s="473"/>
      <c r="O1" s="474"/>
      <c r="P1" s="143"/>
      <c r="Q1" s="143"/>
      <c r="R1" s="143"/>
      <c r="S1" s="143"/>
      <c r="T1" s="143"/>
      <c r="U1" s="143"/>
      <c r="V1" s="143"/>
      <c r="W1" s="143"/>
      <c r="X1" s="143"/>
      <c r="Y1" s="143"/>
      <c r="Z1" s="143"/>
    </row>
    <row r="2" spans="1:26" s="124" customFormat="1" ht="12.75" customHeight="1" x14ac:dyDescent="0.2">
      <c r="A2" s="199" t="s">
        <v>107</v>
      </c>
      <c r="B2" s="200"/>
      <c r="C2" s="200"/>
      <c r="D2" s="201"/>
      <c r="E2" s="188" t="s">
        <v>132</v>
      </c>
      <c r="F2" s="202"/>
      <c r="G2" s="200"/>
      <c r="H2" s="200"/>
      <c r="I2" s="203"/>
      <c r="J2" s="302"/>
      <c r="K2" s="201"/>
      <c r="L2" s="201"/>
      <c r="M2" s="201"/>
      <c r="N2" s="200"/>
      <c r="O2" s="303"/>
      <c r="P2" s="121"/>
      <c r="Q2" s="121"/>
      <c r="R2" s="121"/>
      <c r="S2" s="121"/>
      <c r="T2" s="121"/>
      <c r="U2" s="121"/>
      <c r="V2" s="121"/>
      <c r="W2" s="121"/>
      <c r="X2" s="121"/>
      <c r="Y2" s="121"/>
      <c r="Z2" s="121"/>
    </row>
    <row r="3" spans="1:26" ht="16.899999999999999" customHeight="1" x14ac:dyDescent="0.2">
      <c r="A3" s="88" t="s">
        <v>100</v>
      </c>
      <c r="B3" s="83" t="str">
        <f>[1]Firma!$A$4</f>
        <v>Asues GmbH</v>
      </c>
      <c r="C3" s="1"/>
      <c r="D3" s="1"/>
      <c r="E3" s="555" t="s">
        <v>126</v>
      </c>
      <c r="F3" s="556"/>
      <c r="G3" s="72" t="str">
        <f>VLOOKUP(P3,'[1]Mit-1'!$A$5:$B$19,2,FALSE)</f>
        <v>AAAAA BBBBB</v>
      </c>
      <c r="H3" s="72"/>
      <c r="I3" s="85"/>
      <c r="J3" s="304"/>
      <c r="K3" s="72"/>
      <c r="L3" s="72"/>
      <c r="M3" s="72"/>
      <c r="N3" s="72"/>
      <c r="O3" s="134"/>
      <c r="P3" s="72">
        <v>1</v>
      </c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0.5" customHeight="1" x14ac:dyDescent="0.2">
      <c r="A4" s="87" t="s">
        <v>101</v>
      </c>
      <c r="B4" s="3" t="str">
        <f>[1]Firma!$B$4</f>
        <v>Josef-Ferrari-Straße 12; 39031 Bruneck (BZ)</v>
      </c>
      <c r="C4" s="3"/>
      <c r="D4" s="3"/>
      <c r="E4" s="187" t="s">
        <v>127</v>
      </c>
      <c r="G4" s="30" t="str">
        <f>VLOOKUP($P$3,'[1]Mit-1'!$A$5:$U$19,3,FALSE)</f>
        <v>Michael-Pacher-Straße 10, 39031 Bruneck</v>
      </c>
      <c r="I4" s="134"/>
      <c r="N4" s="1"/>
      <c r="O4" s="2"/>
      <c r="P4" s="1"/>
      <c r="V4" s="1"/>
      <c r="W4" s="1"/>
      <c r="X4" s="1"/>
      <c r="Y4" s="1"/>
      <c r="Z4" s="1"/>
    </row>
    <row r="5" spans="1:26" ht="16.899999999999999" customHeight="1" x14ac:dyDescent="0.2">
      <c r="A5" s="88" t="s">
        <v>102</v>
      </c>
      <c r="B5" s="288" t="str">
        <f>[1]Firma!$C$4</f>
        <v>IT09997110213</v>
      </c>
      <c r="C5" s="3"/>
      <c r="D5" s="3"/>
      <c r="E5" s="555" t="s">
        <v>103</v>
      </c>
      <c r="F5" s="556"/>
      <c r="G5" s="30" t="str">
        <f>VLOOKUP($P$3,'[1]Mit-1'!$A$5:$U$19,6,FALSE)</f>
        <v>AAABBB84B11B220G</v>
      </c>
      <c r="I5" s="2"/>
      <c r="K5" s="1"/>
      <c r="L5" s="1"/>
      <c r="M5" s="1"/>
      <c r="N5" s="1"/>
      <c r="O5" s="2"/>
      <c r="P5" s="1"/>
      <c r="Q5" s="546" t="s">
        <v>136</v>
      </c>
      <c r="R5" s="547"/>
      <c r="S5" s="548"/>
      <c r="T5" s="1"/>
      <c r="U5" s="1"/>
      <c r="V5" s="1"/>
      <c r="W5" s="1"/>
      <c r="X5" s="1"/>
      <c r="Y5" s="1"/>
      <c r="Z5" s="1"/>
    </row>
    <row r="6" spans="1:26" ht="16.899999999999999" customHeight="1" x14ac:dyDescent="0.2">
      <c r="A6" s="88" t="s">
        <v>103</v>
      </c>
      <c r="B6" s="288" t="str">
        <f>[1]Firma!$D$4</f>
        <v>09997110213</v>
      </c>
      <c r="C6" s="3"/>
      <c r="D6" s="3"/>
      <c r="E6" s="187" t="s">
        <v>128</v>
      </c>
      <c r="G6" s="149">
        <f>VLOOKUP($P$3,'[1]Mit-1'!$A$28:$C$42,3,FALSE)</f>
        <v>1</v>
      </c>
      <c r="H6" s="89" t="s">
        <v>9</v>
      </c>
      <c r="I6" s="54">
        <f>VLOOKUP($P$3,'[1]Mit-1'!$A$5:$U$19,7,FALSE)</f>
        <v>45597</v>
      </c>
      <c r="N6" s="1"/>
      <c r="O6" s="2"/>
      <c r="P6" s="1"/>
      <c r="Q6" s="549"/>
      <c r="R6" s="550"/>
      <c r="S6" s="551"/>
      <c r="T6" s="1"/>
      <c r="U6" s="1"/>
      <c r="V6" s="1"/>
      <c r="W6" s="1"/>
      <c r="X6" s="1"/>
      <c r="Y6" s="1"/>
      <c r="Z6" s="1"/>
    </row>
    <row r="7" spans="1:26" ht="16.899999999999999" customHeight="1" x14ac:dyDescent="0.2">
      <c r="A7" s="87" t="s">
        <v>104</v>
      </c>
      <c r="B7" s="288" t="str">
        <f>[1]Firma!$E$4</f>
        <v>1420030006</v>
      </c>
      <c r="C7" s="3"/>
      <c r="D7" s="3"/>
      <c r="E7" s="555" t="s">
        <v>129</v>
      </c>
      <c r="F7" s="556"/>
      <c r="G7" s="36">
        <f>VLOOKUP($P$3,'[1]Mit-1'!$A$5:$U$19,4,FALSE)</f>
        <v>30723</v>
      </c>
      <c r="H7" s="90" t="s">
        <v>10</v>
      </c>
      <c r="I7" s="53" t="str">
        <f>VLOOKUP($P$3,'[1]Mit-1'!$A$5:$U$19,5,FALSE)</f>
        <v>Bruneck</v>
      </c>
      <c r="N7" s="1"/>
      <c r="O7" s="2"/>
      <c r="P7" s="1"/>
      <c r="Q7" s="552" t="s">
        <v>134</v>
      </c>
      <c r="R7" s="553"/>
      <c r="S7" s="554"/>
      <c r="T7" s="1"/>
      <c r="U7" s="1"/>
      <c r="V7" s="1"/>
      <c r="W7" s="1"/>
      <c r="X7" s="1"/>
      <c r="Y7" s="1"/>
      <c r="Z7" s="1"/>
    </row>
    <row r="8" spans="1:26" ht="16.899999999999999" customHeight="1" x14ac:dyDescent="0.2">
      <c r="A8" s="87" t="s">
        <v>105</v>
      </c>
      <c r="B8" s="288" t="str">
        <f>[1]Firma!$F$4</f>
        <v>13625</v>
      </c>
      <c r="C8" s="3"/>
      <c r="D8" s="3"/>
      <c r="E8" s="555" t="s">
        <v>130</v>
      </c>
      <c r="F8" s="556"/>
      <c r="G8" s="149">
        <f>VLOOKUP($P$3,'[1]Mit-2'!$A$5:$P$19,6,FALSE)</f>
        <v>2</v>
      </c>
      <c r="H8" s="91" t="s">
        <v>231</v>
      </c>
      <c r="I8" s="150">
        <f>VLOOKUP($P$3,'[1]Mit-2'!$A$46:$AD$60,20,FALSE)</f>
        <v>0</v>
      </c>
      <c r="J8" s="475" t="s">
        <v>226</v>
      </c>
      <c r="K8" s="476"/>
      <c r="L8" s="476"/>
      <c r="M8" s="476"/>
      <c r="N8" s="476"/>
      <c r="O8" s="477"/>
      <c r="P8" s="1"/>
      <c r="Q8" s="552"/>
      <c r="R8" s="553"/>
      <c r="S8" s="554"/>
      <c r="T8" s="1"/>
      <c r="U8" s="1"/>
      <c r="V8" s="1"/>
      <c r="W8" s="1"/>
      <c r="X8" s="1"/>
      <c r="Y8" s="1"/>
      <c r="Z8" s="1"/>
    </row>
    <row r="9" spans="1:26" ht="16.899999999999999" customHeight="1" x14ac:dyDescent="0.2">
      <c r="A9" s="135"/>
      <c r="B9" s="72"/>
      <c r="C9" s="72"/>
      <c r="D9" s="72"/>
      <c r="E9" s="555" t="s">
        <v>131</v>
      </c>
      <c r="F9" s="556"/>
      <c r="G9" s="447">
        <f>VLOOKUP($P$3,'[1]Mit-2'!$A$5:$AD$19,20,FALSE)</f>
        <v>100</v>
      </c>
      <c r="H9" s="90" t="s">
        <v>232</v>
      </c>
      <c r="I9" s="429"/>
      <c r="J9" s="478"/>
      <c r="K9" s="479"/>
      <c r="L9" s="479"/>
      <c r="M9" s="479"/>
      <c r="N9" s="479"/>
      <c r="O9" s="480"/>
      <c r="P9" s="1"/>
      <c r="Q9" s="198"/>
      <c r="R9" s="430"/>
      <c r="S9" s="2"/>
      <c r="T9" s="287">
        <f>[1]Firma!$B$13</f>
        <v>30</v>
      </c>
      <c r="U9" s="1"/>
      <c r="V9" s="1"/>
      <c r="W9" s="1"/>
      <c r="X9" s="1"/>
      <c r="Y9" s="1"/>
      <c r="Z9" s="1"/>
    </row>
    <row r="10" spans="1:26" ht="10.9" customHeight="1" x14ac:dyDescent="0.2">
      <c r="A10" s="189" t="s">
        <v>108</v>
      </c>
      <c r="B10" s="26"/>
      <c r="C10" s="26"/>
      <c r="D10" s="26"/>
      <c r="E10" s="26"/>
      <c r="F10" s="26"/>
      <c r="G10" s="26"/>
      <c r="H10" s="26"/>
      <c r="I10" s="190"/>
      <c r="J10" s="481" t="s">
        <v>227</v>
      </c>
      <c r="K10" s="484" t="s">
        <v>228</v>
      </c>
      <c r="L10" s="487" t="s">
        <v>229</v>
      </c>
      <c r="M10" s="487" t="s">
        <v>264</v>
      </c>
      <c r="N10" s="487" t="s">
        <v>265</v>
      </c>
      <c r="O10" s="557" t="s">
        <v>266</v>
      </c>
      <c r="P10" s="1"/>
      <c r="Q10" s="538" t="s">
        <v>207</v>
      </c>
      <c r="R10" s="539"/>
      <c r="S10" s="540"/>
      <c r="T10" s="1"/>
      <c r="U10" s="1"/>
      <c r="V10" s="1"/>
      <c r="W10" s="1"/>
      <c r="X10" s="1"/>
      <c r="Y10" s="1"/>
      <c r="Z10" s="1"/>
    </row>
    <row r="11" spans="1:26" s="94" customFormat="1" ht="13.9" customHeight="1" x14ac:dyDescent="0.15">
      <c r="A11" s="181" t="s">
        <v>16</v>
      </c>
      <c r="B11" s="182" t="s">
        <v>11</v>
      </c>
      <c r="C11" s="182" t="s">
        <v>12</v>
      </c>
      <c r="D11" s="182" t="s">
        <v>13</v>
      </c>
      <c r="E11" s="544" t="s">
        <v>14</v>
      </c>
      <c r="F11" s="545"/>
      <c r="G11" s="182" t="s">
        <v>15</v>
      </c>
      <c r="H11" s="183" t="s">
        <v>218</v>
      </c>
      <c r="I11" s="186"/>
      <c r="J11" s="482"/>
      <c r="K11" s="485"/>
      <c r="L11" s="488"/>
      <c r="M11" s="488"/>
      <c r="N11" s="488"/>
      <c r="O11" s="558"/>
      <c r="P11" s="93"/>
      <c r="Q11" s="541"/>
      <c r="R11" s="542"/>
      <c r="S11" s="543"/>
      <c r="T11" s="93"/>
      <c r="U11" s="93"/>
      <c r="V11" s="93"/>
      <c r="W11" s="93"/>
      <c r="X11" s="93"/>
      <c r="Y11" s="93"/>
      <c r="Z11" s="93"/>
    </row>
    <row r="12" spans="1:26" x14ac:dyDescent="0.2">
      <c r="A12" s="171">
        <f>VLOOKUP($G$8,'[1]Lohntab-Tab-retr.'!$A$7:$O$15,5,FALSE)</f>
        <v>1477.83</v>
      </c>
      <c r="B12" s="172">
        <f>VLOOKUP($G$8,'[1]Lohntab-Tab-retr.'!$A$21:$O$29,5,FALSE)</f>
        <v>532.54</v>
      </c>
      <c r="C12" s="172">
        <f>I8*VLOOKUP($G$8,'[1]Lohntab-Tab-retr.'!$A$63:$O$71,5,FALSE)</f>
        <v>0</v>
      </c>
      <c r="D12" s="172">
        <f>VLOOKUP($G$8,'[1]Lohntab-Tab-retr.'!$A$35:$O$43,5,FALSE)</f>
        <v>0</v>
      </c>
      <c r="E12" s="560">
        <f>VLOOKUP($G$8,'[1]Lohntab-Tab-retr.'!$A$49:$O$57,5,FALSE)</f>
        <v>8</v>
      </c>
      <c r="F12" s="560"/>
      <c r="G12" s="172">
        <f>VLOOKUP($P$3,'[1]Mit-2'!$A$24:$P$38,6,FALSE)</f>
        <v>0</v>
      </c>
      <c r="H12" s="172">
        <f>VLOOKUP($G$8,'[1]Lohntab-Tab-retr.'!$A$77:$O$85,5,FALSE)</f>
        <v>0</v>
      </c>
      <c r="I12" s="173"/>
      <c r="J12" s="482"/>
      <c r="K12" s="485"/>
      <c r="L12" s="488"/>
      <c r="M12" s="488"/>
      <c r="N12" s="488"/>
      <c r="O12" s="558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s="94" customFormat="1" ht="13.9" customHeight="1" x14ac:dyDescent="0.15">
      <c r="A13" s="168" t="s">
        <v>17</v>
      </c>
      <c r="B13" s="169" t="s">
        <v>18</v>
      </c>
      <c r="C13" s="169" t="s">
        <v>19</v>
      </c>
      <c r="D13" s="169" t="s">
        <v>20</v>
      </c>
      <c r="E13" s="561" t="s">
        <v>24</v>
      </c>
      <c r="F13" s="562"/>
      <c r="G13" s="169" t="s">
        <v>23</v>
      </c>
      <c r="H13" s="170" t="s">
        <v>21</v>
      </c>
      <c r="I13" s="177" t="s">
        <v>22</v>
      </c>
      <c r="J13" s="482"/>
      <c r="K13" s="485"/>
      <c r="L13" s="488"/>
      <c r="M13" s="488"/>
      <c r="N13" s="488"/>
      <c r="O13" s="558"/>
      <c r="P13" s="93"/>
      <c r="Q13" s="93"/>
      <c r="R13" s="93"/>
      <c r="S13" s="93"/>
      <c r="T13" s="93"/>
      <c r="U13" s="93"/>
      <c r="V13" s="93"/>
      <c r="W13" s="93"/>
      <c r="X13" s="93"/>
      <c r="Y13" s="93"/>
      <c r="Z13" s="93"/>
    </row>
    <row r="14" spans="1:26" x14ac:dyDescent="0.2">
      <c r="A14" s="178">
        <f>[1]Tab!G140</f>
        <v>168</v>
      </c>
      <c r="B14" s="240">
        <f>[1]Tab!G141</f>
        <v>26</v>
      </c>
      <c r="C14" s="179">
        <f>ROUND(I14/A14,5)</f>
        <v>12.014110000000001</v>
      </c>
      <c r="D14" s="179">
        <f>ROUND(I14/B14,5)</f>
        <v>77.629620000000003</v>
      </c>
      <c r="E14" s="563">
        <f>COUNT(K19:K49)</f>
        <v>0</v>
      </c>
      <c r="F14" s="563"/>
      <c r="G14" s="240">
        <f>K50</f>
        <v>0</v>
      </c>
      <c r="H14" s="240">
        <v>26</v>
      </c>
      <c r="I14" s="180">
        <f>SUM(A12:I12)</f>
        <v>2018.37</v>
      </c>
      <c r="J14" s="482"/>
      <c r="K14" s="485"/>
      <c r="L14" s="488"/>
      <c r="M14" s="488"/>
      <c r="N14" s="488"/>
      <c r="O14" s="558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</row>
    <row r="15" spans="1:26" s="94" customFormat="1" ht="13.9" customHeight="1" x14ac:dyDescent="0.15">
      <c r="A15" s="174" t="s">
        <v>26</v>
      </c>
      <c r="B15" s="175" t="s">
        <v>27</v>
      </c>
      <c r="C15" s="175" t="s">
        <v>25</v>
      </c>
      <c r="D15" s="175" t="s">
        <v>259</v>
      </c>
      <c r="E15" s="564" t="s">
        <v>260</v>
      </c>
      <c r="F15" s="565"/>
      <c r="G15" s="175" t="s">
        <v>261</v>
      </c>
      <c r="H15" s="146"/>
      <c r="I15" s="176"/>
      <c r="J15" s="482"/>
      <c r="K15" s="485"/>
      <c r="L15" s="488"/>
      <c r="M15" s="488"/>
      <c r="N15" s="488"/>
      <c r="O15" s="558"/>
      <c r="P15" s="93"/>
      <c r="Q15" s="93"/>
      <c r="R15" s="93"/>
      <c r="S15" s="93"/>
      <c r="T15" s="93"/>
      <c r="U15" s="93"/>
      <c r="V15" s="93"/>
      <c r="W15" s="93"/>
      <c r="X15" s="93"/>
      <c r="Y15" s="93"/>
      <c r="Z15" s="93"/>
    </row>
    <row r="16" spans="1:26" x14ac:dyDescent="0.2">
      <c r="A16" s="440">
        <f>'03'!A16+(VLOOKUP($P$3,'[1]Mit-2'!$A$90:$P$104,6,FALSE))*G9%</f>
        <v>0</v>
      </c>
      <c r="B16" s="438">
        <f>M50</f>
        <v>0</v>
      </c>
      <c r="C16" s="438">
        <f>A16-B16</f>
        <v>0</v>
      </c>
      <c r="D16" s="438">
        <f>'03'!D16+(VLOOKUP($P$3,'[1]Mit-2'!$A$90:$AD$104,20,FALSE))*G9%</f>
        <v>0</v>
      </c>
      <c r="E16" s="537">
        <f>N50</f>
        <v>0</v>
      </c>
      <c r="F16" s="537"/>
      <c r="G16" s="438">
        <f>D16-E16</f>
        <v>0</v>
      </c>
      <c r="H16" s="147"/>
      <c r="I16" s="185"/>
      <c r="J16" s="482"/>
      <c r="K16" s="485"/>
      <c r="L16" s="488"/>
      <c r="M16" s="488"/>
      <c r="N16" s="488"/>
      <c r="O16" s="558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</row>
    <row r="17" spans="1:26" ht="3.75" customHeight="1" x14ac:dyDescent="0.2">
      <c r="A17" s="167"/>
      <c r="B17" s="29"/>
      <c r="C17" s="29"/>
      <c r="D17" s="29"/>
      <c r="E17" s="29"/>
      <c r="F17" s="29"/>
      <c r="G17" s="29"/>
      <c r="H17" s="29"/>
      <c r="I17" s="35"/>
      <c r="J17" s="482"/>
      <c r="K17" s="485"/>
      <c r="L17" s="488"/>
      <c r="M17" s="488"/>
      <c r="N17" s="488"/>
      <c r="O17" s="558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s="92" customFormat="1" ht="16.899999999999999" customHeight="1" x14ac:dyDescent="0.15">
      <c r="A18" s="162" t="s">
        <v>28</v>
      </c>
      <c r="B18" s="163"/>
      <c r="C18" s="163"/>
      <c r="D18" s="96"/>
      <c r="E18" s="535" t="s">
        <v>29</v>
      </c>
      <c r="F18" s="536"/>
      <c r="G18" s="99" t="s">
        <v>31</v>
      </c>
      <c r="H18" s="86" t="s">
        <v>30</v>
      </c>
      <c r="I18" s="100" t="s">
        <v>233</v>
      </c>
      <c r="J18" s="483"/>
      <c r="K18" s="486"/>
      <c r="L18" s="489"/>
      <c r="M18" s="489"/>
      <c r="N18" s="489"/>
      <c r="O18" s="559"/>
      <c r="P18" s="97"/>
      <c r="V18" s="98"/>
      <c r="W18" s="98"/>
      <c r="X18" s="98"/>
      <c r="Y18" s="97"/>
      <c r="Z18" s="97"/>
    </row>
    <row r="19" spans="1:26" ht="12" customHeight="1" x14ac:dyDescent="0.2">
      <c r="A19" s="533"/>
      <c r="B19" s="534"/>
      <c r="C19" s="534"/>
      <c r="D19" s="417"/>
      <c r="E19" s="418"/>
      <c r="F19" s="419"/>
      <c r="G19" s="206">
        <f>VLOOKUP(A19,A66:F121,5,FALSE)</f>
        <v>0</v>
      </c>
      <c r="H19" s="308">
        <f>IF(E19="",0,IF(A19="",0,IF(E19="Std-ore",ROUND(C$14+C$14*G19,5),IF(E19="Tage-gg.",ROUND(D$14+D$14*G19,5),IF(E19="Monat-mese",ROUND($I$14+$I$14*G19,2))))))</f>
        <v>0</v>
      </c>
      <c r="I19" s="151">
        <f>ROUND(H19*F19,2)</f>
        <v>0</v>
      </c>
      <c r="J19" s="305">
        <v>1</v>
      </c>
      <c r="K19" s="409"/>
      <c r="L19" s="410"/>
      <c r="M19" s="410"/>
      <c r="N19" s="410"/>
      <c r="O19" s="411"/>
      <c r="P19" s="6"/>
      <c r="V19" s="1"/>
      <c r="W19" s="1"/>
      <c r="X19" s="1"/>
      <c r="Y19" s="7"/>
      <c r="Z19" s="6"/>
    </row>
    <row r="20" spans="1:26" ht="12" customHeight="1" x14ac:dyDescent="0.2">
      <c r="A20" s="526"/>
      <c r="B20" s="527"/>
      <c r="C20" s="527"/>
      <c r="D20" s="420"/>
      <c r="E20" s="421"/>
      <c r="F20" s="422"/>
      <c r="G20" s="206">
        <f>VLOOKUP(A20,A67:F122,5,FALSE)</f>
        <v>0</v>
      </c>
      <c r="H20" s="308">
        <f t="shared" ref="H20:H28" si="0">IF(E20="",0,IF(A20="",0,IF(E20="Std-ore",ROUND(C$14+C$14*G20,5),IF(E20="Tage-gg.",ROUND(D$14+D$14*G20,5),IF(E20="Monat-mese",ROUND($I$14+$I$14*G20,2))))))</f>
        <v>0</v>
      </c>
      <c r="I20" s="152">
        <f t="shared" ref="I20:I28" si="1">IF(A20="Abzug Bruttoberechnung Krankengeld INPS",ROUND(I19*G20,2),ROUND(H20*F20,2))</f>
        <v>0</v>
      </c>
      <c r="J20" s="306">
        <v>2</v>
      </c>
      <c r="K20" s="412"/>
      <c r="L20" s="413"/>
      <c r="M20" s="413"/>
      <c r="N20" s="413"/>
      <c r="O20" s="414"/>
      <c r="P20" s="6"/>
      <c r="V20" s="28"/>
      <c r="W20" s="6"/>
    </row>
    <row r="21" spans="1:26" ht="12" customHeight="1" x14ac:dyDescent="0.2">
      <c r="A21" s="526"/>
      <c r="B21" s="527"/>
      <c r="C21" s="527"/>
      <c r="D21" s="420"/>
      <c r="E21" s="421"/>
      <c r="F21" s="422"/>
      <c r="G21" s="206">
        <f>VLOOKUP(A21,A66:F121,5,FALSE)</f>
        <v>0</v>
      </c>
      <c r="H21" s="308">
        <f t="shared" si="0"/>
        <v>0</v>
      </c>
      <c r="I21" s="152">
        <f t="shared" si="1"/>
        <v>0</v>
      </c>
      <c r="J21" s="306">
        <v>3</v>
      </c>
      <c r="K21" s="412"/>
      <c r="L21" s="413"/>
      <c r="M21" s="413"/>
      <c r="N21" s="413"/>
      <c r="O21" s="414"/>
      <c r="P21" s="6"/>
      <c r="V21" s="28"/>
      <c r="W21" s="6"/>
    </row>
    <row r="22" spans="1:26" ht="12" customHeight="1" x14ac:dyDescent="0.2">
      <c r="A22" s="526"/>
      <c r="B22" s="527"/>
      <c r="C22" s="527"/>
      <c r="D22" s="420"/>
      <c r="E22" s="421"/>
      <c r="F22" s="422"/>
      <c r="G22" s="206">
        <f>VLOOKUP(A22,A67:F122,5,FALSE)</f>
        <v>0</v>
      </c>
      <c r="H22" s="308">
        <f>IF(E22="",0,IF(A22="",0,IF(E22="Std-ore",ROUND(C$14+C$14*G22,5),IF(E22="Tage-gg.",ROUND(D$14+D$14*G22,5),IF(E22="Monat-mese",ROUND($I$14+$I$14*G22,2))))))</f>
        <v>0</v>
      </c>
      <c r="I22" s="152">
        <f t="shared" si="1"/>
        <v>0</v>
      </c>
      <c r="J22" s="306">
        <v>4</v>
      </c>
      <c r="K22" s="412"/>
      <c r="L22" s="413"/>
      <c r="M22" s="413"/>
      <c r="N22" s="413"/>
      <c r="O22" s="414"/>
      <c r="P22" s="6"/>
      <c r="V22" s="28"/>
      <c r="W22" s="6"/>
    </row>
    <row r="23" spans="1:26" ht="12" customHeight="1" x14ac:dyDescent="0.2">
      <c r="A23" s="526"/>
      <c r="B23" s="527"/>
      <c r="C23" s="527"/>
      <c r="D23" s="420"/>
      <c r="E23" s="421"/>
      <c r="F23" s="422"/>
      <c r="G23" s="206">
        <f t="shared" ref="G23:G28" si="2">VLOOKUP(A23,A67:F122,5,FALSE)</f>
        <v>0</v>
      </c>
      <c r="H23" s="308">
        <f>IF(E23="",0,IF(A23="",0,IF(E23="Std-ore",ROUND(C$14+C$14*G23,5),IF(E23="Tage-gg.",ROUND(D$14+D$14*G23,5),IF(E23="Monat-mese",ROUND($I$14+$I$14*G23,2))))))</f>
        <v>0</v>
      </c>
      <c r="I23" s="152">
        <f t="shared" si="1"/>
        <v>0</v>
      </c>
      <c r="J23" s="306">
        <v>5</v>
      </c>
      <c r="K23" s="412"/>
      <c r="L23" s="413"/>
      <c r="M23" s="413"/>
      <c r="N23" s="413"/>
      <c r="O23" s="414"/>
      <c r="P23" s="6"/>
      <c r="V23" s="28"/>
      <c r="W23" s="6"/>
    </row>
    <row r="24" spans="1:26" ht="12" customHeight="1" x14ac:dyDescent="0.2">
      <c r="A24" s="526"/>
      <c r="B24" s="527"/>
      <c r="C24" s="527"/>
      <c r="D24" s="420"/>
      <c r="E24" s="421"/>
      <c r="F24" s="422"/>
      <c r="G24" s="206">
        <f t="shared" si="2"/>
        <v>0</v>
      </c>
      <c r="H24" s="308">
        <f t="shared" si="0"/>
        <v>0</v>
      </c>
      <c r="I24" s="152">
        <f t="shared" si="1"/>
        <v>0</v>
      </c>
      <c r="J24" s="306">
        <v>6</v>
      </c>
      <c r="K24" s="412"/>
      <c r="L24" s="413"/>
      <c r="M24" s="413"/>
      <c r="N24" s="413"/>
      <c r="O24" s="414"/>
      <c r="P24" s="6"/>
      <c r="V24" s="28"/>
      <c r="W24" s="6"/>
    </row>
    <row r="25" spans="1:26" ht="12" customHeight="1" x14ac:dyDescent="0.2">
      <c r="A25" s="526"/>
      <c r="B25" s="527"/>
      <c r="C25" s="527"/>
      <c r="D25" s="420"/>
      <c r="E25" s="421"/>
      <c r="F25" s="422"/>
      <c r="G25" s="206">
        <f t="shared" si="2"/>
        <v>0</v>
      </c>
      <c r="H25" s="308">
        <f t="shared" si="0"/>
        <v>0</v>
      </c>
      <c r="I25" s="152">
        <f t="shared" si="1"/>
        <v>0</v>
      </c>
      <c r="J25" s="306">
        <v>7</v>
      </c>
      <c r="K25" s="412"/>
      <c r="L25" s="413"/>
      <c r="M25" s="413"/>
      <c r="N25" s="413"/>
      <c r="O25" s="414"/>
      <c r="P25" s="6"/>
      <c r="W25" s="6"/>
    </row>
    <row r="26" spans="1:26" ht="12" customHeight="1" x14ac:dyDescent="0.2">
      <c r="A26" s="526"/>
      <c r="B26" s="527"/>
      <c r="C26" s="527"/>
      <c r="D26" s="420"/>
      <c r="E26" s="421"/>
      <c r="F26" s="422"/>
      <c r="G26" s="206">
        <f t="shared" si="2"/>
        <v>0</v>
      </c>
      <c r="H26" s="308">
        <f t="shared" si="0"/>
        <v>0</v>
      </c>
      <c r="I26" s="152">
        <f t="shared" si="1"/>
        <v>0</v>
      </c>
      <c r="J26" s="306">
        <v>8</v>
      </c>
      <c r="K26" s="412"/>
      <c r="L26" s="413"/>
      <c r="M26" s="413"/>
      <c r="N26" s="413"/>
      <c r="O26" s="414"/>
      <c r="P26" s="6"/>
      <c r="W26" s="6"/>
    </row>
    <row r="27" spans="1:26" ht="12" customHeight="1" x14ac:dyDescent="0.2">
      <c r="A27" s="526"/>
      <c r="B27" s="527"/>
      <c r="C27" s="527"/>
      <c r="D27" s="420"/>
      <c r="E27" s="421"/>
      <c r="F27" s="422"/>
      <c r="G27" s="206">
        <f t="shared" si="2"/>
        <v>0</v>
      </c>
      <c r="H27" s="308">
        <f t="shared" si="0"/>
        <v>0</v>
      </c>
      <c r="I27" s="152">
        <f t="shared" si="1"/>
        <v>0</v>
      </c>
      <c r="J27" s="306">
        <v>9</v>
      </c>
      <c r="K27" s="412"/>
      <c r="L27" s="413"/>
      <c r="M27" s="413"/>
      <c r="N27" s="413"/>
      <c r="O27" s="414"/>
      <c r="P27" s="6"/>
    </row>
    <row r="28" spans="1:26" ht="12" customHeight="1" x14ac:dyDescent="0.2">
      <c r="A28" s="526"/>
      <c r="B28" s="527"/>
      <c r="C28" s="527"/>
      <c r="D28" s="420"/>
      <c r="E28" s="421"/>
      <c r="F28" s="422"/>
      <c r="G28" s="206">
        <f t="shared" si="2"/>
        <v>0</v>
      </c>
      <c r="H28" s="308">
        <f t="shared" si="0"/>
        <v>0</v>
      </c>
      <c r="I28" s="152">
        <f t="shared" si="1"/>
        <v>0</v>
      </c>
      <c r="J28" s="306">
        <v>10</v>
      </c>
      <c r="K28" s="412"/>
      <c r="L28" s="413"/>
      <c r="M28" s="413"/>
      <c r="N28" s="413"/>
      <c r="O28" s="414"/>
      <c r="P28" s="6"/>
    </row>
    <row r="29" spans="1:26" ht="12" customHeight="1" x14ac:dyDescent="0.2">
      <c r="A29" s="119" t="s">
        <v>109</v>
      </c>
      <c r="B29" s="57"/>
      <c r="C29" s="57"/>
      <c r="D29" s="57"/>
      <c r="E29" s="57"/>
      <c r="F29" s="58"/>
      <c r="G29" s="57"/>
      <c r="H29" s="57"/>
      <c r="I29" s="154">
        <f>SUM(I19:I28)</f>
        <v>0</v>
      </c>
      <c r="J29" s="306">
        <v>11</v>
      </c>
      <c r="K29" s="412"/>
      <c r="L29" s="413"/>
      <c r="M29" s="413"/>
      <c r="N29" s="415"/>
      <c r="O29" s="416"/>
      <c r="P29" s="9"/>
    </row>
    <row r="30" spans="1:26" ht="12" customHeight="1" x14ac:dyDescent="0.2">
      <c r="A30" s="211" t="s">
        <v>236</v>
      </c>
      <c r="B30" s="55"/>
      <c r="C30" s="59"/>
      <c r="D30" s="59"/>
      <c r="E30" s="59"/>
      <c r="F30" s="102" t="s">
        <v>55</v>
      </c>
      <c r="G30" s="73">
        <f>ROUND(I29,0)</f>
        <v>0</v>
      </c>
      <c r="H30" s="164">
        <f>'[1]Mit-1'!$C$21</f>
        <v>9.1899999999999996E-2</v>
      </c>
      <c r="I30" s="151">
        <f>-ROUND(G30*H30,2)</f>
        <v>0</v>
      </c>
      <c r="J30" s="306">
        <v>12</v>
      </c>
      <c r="K30" s="412"/>
      <c r="L30" s="413"/>
      <c r="M30" s="413"/>
      <c r="N30" s="413"/>
      <c r="O30" s="414"/>
      <c r="P30" s="1"/>
      <c r="Z30" s="1"/>
    </row>
    <row r="31" spans="1:26" ht="12" customHeight="1" x14ac:dyDescent="0.2">
      <c r="A31" s="104" t="s">
        <v>237</v>
      </c>
      <c r="B31" s="61"/>
      <c r="C31" s="62"/>
      <c r="D31" s="62"/>
      <c r="E31" s="62"/>
      <c r="F31" s="103" t="s">
        <v>55</v>
      </c>
      <c r="G31" s="60">
        <f>ROUND(I29,2)</f>
        <v>0</v>
      </c>
      <c r="H31" s="165">
        <f>VLOOKUP($P$3,'[1]Mit-1'!$A$5:$U$19,19,FALSE)</f>
        <v>1.23E-2</v>
      </c>
      <c r="I31" s="152">
        <f>-ROUND(G31*H31,2)</f>
        <v>0</v>
      </c>
      <c r="J31" s="306">
        <v>13</v>
      </c>
      <c r="K31" s="412"/>
      <c r="L31" s="413"/>
      <c r="M31" s="413"/>
      <c r="N31" s="413"/>
      <c r="O31" s="414"/>
      <c r="P31" s="1"/>
      <c r="Z31" s="1"/>
    </row>
    <row r="32" spans="1:26" ht="12" customHeight="1" x14ac:dyDescent="0.2">
      <c r="A32" s="104" t="s">
        <v>234</v>
      </c>
      <c r="B32" s="61"/>
      <c r="C32" s="62"/>
      <c r="D32" s="62"/>
      <c r="E32" s="62"/>
      <c r="F32" s="103" t="s">
        <v>55</v>
      </c>
      <c r="G32" s="327">
        <f>IF(I29=0,0,IF(R9&gt;0,SUM(A12:B12)/T9*R9,SUM(A12:B12)))</f>
        <v>0</v>
      </c>
      <c r="H32" s="165">
        <f>'[1]Mit-1'!$I$21</f>
        <v>1E-3</v>
      </c>
      <c r="I32" s="152">
        <f>-ROUND(G32*H32,2)</f>
        <v>0</v>
      </c>
      <c r="J32" s="306">
        <v>14</v>
      </c>
      <c r="K32" s="412"/>
      <c r="L32" s="413"/>
      <c r="M32" s="413"/>
      <c r="N32" s="413"/>
      <c r="O32" s="414"/>
      <c r="P32" s="1"/>
      <c r="Z32" s="1"/>
    </row>
    <row r="33" spans="1:26" ht="12" customHeight="1" x14ac:dyDescent="0.2">
      <c r="A33" s="104" t="s">
        <v>235</v>
      </c>
      <c r="B33" s="61"/>
      <c r="C33" s="62"/>
      <c r="D33" s="62"/>
      <c r="E33" s="62"/>
      <c r="F33" s="103" t="s">
        <v>55</v>
      </c>
      <c r="G33" s="60">
        <f>G30</f>
        <v>0</v>
      </c>
      <c r="H33" s="165">
        <f>'[1]Mit-1'!$I$23</f>
        <v>4.0000000000000001E-3</v>
      </c>
      <c r="I33" s="152">
        <f>-ROUND(G33*H33,2)</f>
        <v>0</v>
      </c>
      <c r="J33" s="306">
        <v>15</v>
      </c>
      <c r="K33" s="412"/>
      <c r="L33" s="413"/>
      <c r="M33" s="413"/>
      <c r="N33" s="413"/>
      <c r="O33" s="414"/>
      <c r="P33" s="1"/>
      <c r="Z33" s="1"/>
    </row>
    <row r="34" spans="1:26" ht="12" customHeight="1" x14ac:dyDescent="0.2">
      <c r="A34" s="104" t="s">
        <v>258</v>
      </c>
      <c r="B34" s="61"/>
      <c r="C34" s="62"/>
      <c r="D34" s="62"/>
      <c r="E34" s="62"/>
      <c r="F34" s="394"/>
      <c r="G34" s="52"/>
      <c r="H34" s="395"/>
      <c r="I34" s="152">
        <f>-IF(I29=0,0,'[1]Mit-1'!$I$25)</f>
        <v>0</v>
      </c>
      <c r="J34" s="306">
        <v>16</v>
      </c>
      <c r="K34" s="412"/>
      <c r="L34" s="413"/>
      <c r="M34" s="413"/>
      <c r="N34" s="413"/>
      <c r="O34" s="414"/>
      <c r="P34" s="1"/>
      <c r="Z34" s="1"/>
    </row>
    <row r="35" spans="1:26" ht="12" customHeight="1" x14ac:dyDescent="0.2">
      <c r="A35" s="104" t="s">
        <v>110</v>
      </c>
      <c r="B35" s="10"/>
      <c r="C35" s="10"/>
      <c r="D35" s="10"/>
      <c r="E35" s="10"/>
      <c r="F35" s="10"/>
      <c r="G35" s="11"/>
      <c r="H35" s="63"/>
      <c r="I35" s="152">
        <f ca="1">-SUMIF($A$19:$C$28,"Krankheit INPS-Anteil*",$I$19:$I$28)</f>
        <v>0</v>
      </c>
      <c r="J35" s="306">
        <v>17</v>
      </c>
      <c r="K35" s="412"/>
      <c r="L35" s="413"/>
      <c r="M35" s="413"/>
      <c r="N35" s="413"/>
      <c r="O35" s="414"/>
      <c r="P35" s="6"/>
      <c r="Y35" s="6"/>
      <c r="Z35" s="6"/>
    </row>
    <row r="36" spans="1:26" ht="12" customHeight="1" x14ac:dyDescent="0.2">
      <c r="A36" s="104" t="s">
        <v>111</v>
      </c>
      <c r="B36" s="10"/>
      <c r="C36" s="10"/>
      <c r="D36" s="10"/>
      <c r="E36" s="10"/>
      <c r="F36" s="10"/>
      <c r="G36" s="11"/>
      <c r="H36" s="63"/>
      <c r="I36" s="152">
        <f ca="1">-SUMIF($A$19:$C$28,"Mutterschaft INPS-Anteil*",$I$19:$I$28)</f>
        <v>0</v>
      </c>
      <c r="J36" s="306">
        <v>18</v>
      </c>
      <c r="K36" s="412"/>
      <c r="L36" s="413"/>
      <c r="M36" s="413"/>
      <c r="N36" s="413"/>
      <c r="O36" s="414"/>
      <c r="P36" s="6"/>
      <c r="Y36" s="6"/>
      <c r="Z36" s="6"/>
    </row>
    <row r="37" spans="1:26" ht="12" customHeight="1" x14ac:dyDescent="0.2">
      <c r="A37" s="105" t="s">
        <v>112</v>
      </c>
      <c r="B37" s="10"/>
      <c r="C37" s="10"/>
      <c r="D37" s="10"/>
      <c r="E37" s="10"/>
      <c r="F37" s="10"/>
      <c r="G37" s="11"/>
      <c r="H37" s="52">
        <f>ROUND(IF(I29=0,0,VLOOKUP($P$3,'[1]Mit-1'!$A$5:$AD$19,12,FALSE)),2)</f>
        <v>0</v>
      </c>
      <c r="I37" s="155"/>
      <c r="J37" s="306">
        <v>19</v>
      </c>
      <c r="K37" s="412"/>
      <c r="L37" s="413"/>
      <c r="M37" s="413"/>
      <c r="N37" s="413"/>
      <c r="O37" s="414"/>
      <c r="P37" s="6"/>
      <c r="Y37" s="6"/>
      <c r="Z37" s="6"/>
    </row>
    <row r="38" spans="1:26" ht="12" customHeight="1" x14ac:dyDescent="0.2">
      <c r="A38" s="107" t="s">
        <v>113</v>
      </c>
      <c r="B38" s="10"/>
      <c r="C38" s="10"/>
      <c r="D38" s="10"/>
      <c r="E38" s="10"/>
      <c r="F38" s="10"/>
      <c r="G38" s="11"/>
      <c r="H38" s="236">
        <f ca="1">IF(SUM(I29:I37)-H37&lt;0,0,SUM(I29:I36)-H37)</f>
        <v>0</v>
      </c>
      <c r="I38" s="156"/>
      <c r="J38" s="306">
        <v>20</v>
      </c>
      <c r="K38" s="412"/>
      <c r="L38" s="413"/>
      <c r="M38" s="413"/>
      <c r="N38" s="413"/>
      <c r="O38" s="414"/>
      <c r="P38" s="6"/>
      <c r="Y38" s="6"/>
      <c r="Z38" s="6"/>
    </row>
    <row r="39" spans="1:26" ht="12" customHeight="1" x14ac:dyDescent="0.2">
      <c r="A39" s="211" t="s">
        <v>143</v>
      </c>
      <c r="B39" s="14"/>
      <c r="C39" s="14"/>
      <c r="D39" s="14"/>
      <c r="E39" s="14"/>
      <c r="F39" s="14"/>
      <c r="G39" s="14"/>
      <c r="H39" s="238">
        <f ca="1">-U50</f>
        <v>0</v>
      </c>
      <c r="I39" s="159"/>
      <c r="J39" s="306">
        <v>21</v>
      </c>
      <c r="K39" s="412"/>
      <c r="L39" s="413"/>
      <c r="M39" s="413"/>
      <c r="N39" s="413"/>
      <c r="O39" s="414"/>
      <c r="P39" s="6"/>
      <c r="R39" s="216"/>
      <c r="V39" s="6"/>
      <c r="W39" s="6"/>
      <c r="X39" s="6"/>
      <c r="Y39" s="6"/>
      <c r="Z39" s="6"/>
    </row>
    <row r="40" spans="1:26" ht="12" customHeight="1" x14ac:dyDescent="0.2">
      <c r="A40" s="104" t="s">
        <v>144</v>
      </c>
      <c r="B40" s="10"/>
      <c r="C40" s="10"/>
      <c r="D40" s="10"/>
      <c r="E40" s="10"/>
      <c r="F40" s="10"/>
      <c r="G40" s="10"/>
      <c r="H40" s="242">
        <f>ROUND(IF(I29=0,0,VLOOKUP($P$3,'[1]Mit-1'!$A$5:$AB$19,13,FALSE)/[1]Firma!$B$24*IF(R9=0,T9,R9)),2)</f>
        <v>0</v>
      </c>
      <c r="I40" s="156"/>
      <c r="J40" s="306">
        <v>22</v>
      </c>
      <c r="K40" s="412"/>
      <c r="L40" s="413"/>
      <c r="M40" s="413"/>
      <c r="N40" s="413"/>
      <c r="O40" s="414"/>
      <c r="P40" s="6"/>
      <c r="Q40" s="220"/>
      <c r="R40" s="216"/>
      <c r="S40" s="217"/>
      <c r="T40" s="218"/>
      <c r="U40" s="219"/>
      <c r="V40" s="6"/>
      <c r="W40" s="6"/>
      <c r="X40" s="6"/>
      <c r="Y40" s="6"/>
      <c r="Z40" s="6"/>
    </row>
    <row r="41" spans="1:26" ht="12" customHeight="1" x14ac:dyDescent="0.2">
      <c r="A41" s="110" t="s">
        <v>145</v>
      </c>
      <c r="B41" s="221"/>
      <c r="C41" s="221"/>
      <c r="D41" s="221"/>
      <c r="E41" s="221"/>
      <c r="F41" s="221"/>
      <c r="G41" s="221"/>
      <c r="H41" s="242">
        <f>ROUND(IF(I29=0,0,VLOOKUP($P$3,'[1]Mit-2'!$A$46:$P$60,3,FALSE)/12),2)</f>
        <v>0</v>
      </c>
      <c r="I41" s="286"/>
      <c r="J41" s="306">
        <v>23</v>
      </c>
      <c r="K41" s="412"/>
      <c r="L41" s="413"/>
      <c r="M41" s="413"/>
      <c r="N41" s="413"/>
      <c r="O41" s="414"/>
      <c r="P41" s="6"/>
      <c r="Q41" s="492" t="s">
        <v>4</v>
      </c>
      <c r="R41" s="493"/>
      <c r="S41" s="494" t="s">
        <v>7</v>
      </c>
      <c r="T41" s="498" t="s">
        <v>5</v>
      </c>
      <c r="U41" s="490" t="s">
        <v>2</v>
      </c>
      <c r="V41" s="6"/>
      <c r="W41" s="6"/>
      <c r="X41" s="6"/>
      <c r="Y41" s="6"/>
      <c r="Z41" s="6"/>
    </row>
    <row r="42" spans="1:26" ht="12" customHeight="1" x14ac:dyDescent="0.2">
      <c r="A42" s="108" t="s">
        <v>146</v>
      </c>
      <c r="B42" s="64"/>
      <c r="C42" s="64"/>
      <c r="D42" s="64"/>
      <c r="E42" s="64"/>
      <c r="F42" s="64"/>
      <c r="G42" s="64"/>
      <c r="H42" s="65"/>
      <c r="I42" s="157">
        <f ca="1">IF(SUM(H39:H41)&gt;=0,0,SUM(H39:H41))</f>
        <v>0</v>
      </c>
      <c r="J42" s="306">
        <v>24</v>
      </c>
      <c r="K42" s="412"/>
      <c r="L42" s="413"/>
      <c r="M42" s="413"/>
      <c r="N42" s="413"/>
      <c r="O42" s="414"/>
      <c r="P42" s="6"/>
      <c r="Q42" s="529"/>
      <c r="R42" s="530"/>
      <c r="S42" s="532"/>
      <c r="T42" s="531"/>
      <c r="U42" s="528"/>
      <c r="V42" s="6"/>
      <c r="W42" s="6"/>
      <c r="X42" s="6"/>
      <c r="Y42" s="6"/>
      <c r="Z42" s="6"/>
    </row>
    <row r="43" spans="1:26" ht="12" customHeight="1" x14ac:dyDescent="0.2">
      <c r="A43" s="106" t="s">
        <v>141</v>
      </c>
      <c r="B43" s="212"/>
      <c r="C43" s="10"/>
      <c r="D43" s="213"/>
      <c r="E43" s="574"/>
      <c r="F43" s="575"/>
      <c r="G43" s="214"/>
      <c r="H43" s="215" t="s">
        <v>33</v>
      </c>
      <c r="I43" s="151"/>
      <c r="J43" s="306">
        <v>25</v>
      </c>
      <c r="K43" s="412"/>
      <c r="L43" s="413"/>
      <c r="M43" s="413"/>
      <c r="N43" s="413"/>
      <c r="O43" s="414"/>
      <c r="P43" s="6"/>
      <c r="Q43" s="81" t="s">
        <v>0</v>
      </c>
      <c r="R43" s="82" t="s">
        <v>1</v>
      </c>
      <c r="S43" s="495"/>
      <c r="T43" s="499"/>
      <c r="U43" s="491"/>
      <c r="V43" s="6"/>
      <c r="W43" s="6"/>
      <c r="X43" s="6"/>
      <c r="Y43" s="6"/>
      <c r="Z43" s="6"/>
    </row>
    <row r="44" spans="1:26" ht="12" customHeight="1" x14ac:dyDescent="0.2">
      <c r="A44" s="104" t="s">
        <v>114</v>
      </c>
      <c r="B44" s="15"/>
      <c r="C44" s="8"/>
      <c r="D44" s="16"/>
      <c r="E44" s="511"/>
      <c r="F44" s="512"/>
      <c r="G44" s="17"/>
      <c r="H44" s="407"/>
      <c r="I44" s="158">
        <f>-H44</f>
        <v>0</v>
      </c>
      <c r="J44" s="306">
        <v>26</v>
      </c>
      <c r="K44" s="412"/>
      <c r="L44" s="413"/>
      <c r="M44" s="413"/>
      <c r="N44" s="413"/>
      <c r="O44" s="414"/>
      <c r="P44" s="6"/>
      <c r="Q44" s="78">
        <f>[1]Tab!E8</f>
        <v>0</v>
      </c>
      <c r="R44" s="74">
        <f>[1]Tab!F8</f>
        <v>1250</v>
      </c>
      <c r="S44" s="75">
        <f>[1]Tab!G8</f>
        <v>0.23</v>
      </c>
      <c r="T44" s="76">
        <f>ROUND(R44*S44,2)</f>
        <v>287.5</v>
      </c>
      <c r="U44" s="76">
        <f ca="1">ROUND(IF(AND($H$38&lt;=R44,$H$38&gt;0),$H$38*S44,0),2)</f>
        <v>0</v>
      </c>
      <c r="V44" s="6"/>
      <c r="W44" s="6"/>
      <c r="X44" s="6"/>
      <c r="Y44" s="6"/>
      <c r="Z44" s="6"/>
    </row>
    <row r="45" spans="1:26" s="1" customFormat="1" ht="12" customHeight="1" x14ac:dyDescent="0.2">
      <c r="A45" s="110" t="s">
        <v>115</v>
      </c>
      <c r="B45" s="18"/>
      <c r="C45" s="111" t="s">
        <v>221</v>
      </c>
      <c r="D45" s="19">
        <v>11</v>
      </c>
      <c r="E45" s="511"/>
      <c r="F45" s="512"/>
      <c r="G45" s="20"/>
      <c r="H45" s="24">
        <f>IF(I29=0,0,VLOOKUP($P$3,'[1]Mit-2'!$A$65:$P$79,6,FALSE))</f>
        <v>0</v>
      </c>
      <c r="I45" s="155">
        <f>IF($I$9="",ROUND(IF($I$29=0,0,-H45/D45),2),-Steuern!J48)</f>
        <v>0</v>
      </c>
      <c r="J45" s="306">
        <v>27</v>
      </c>
      <c r="K45" s="412"/>
      <c r="L45" s="413"/>
      <c r="M45" s="413"/>
      <c r="N45" s="413"/>
      <c r="O45" s="414"/>
      <c r="P45" s="6"/>
      <c r="Q45" s="78">
        <f>[1]Tab!E9</f>
        <v>1250.01</v>
      </c>
      <c r="R45" s="74">
        <f>[1]Tab!F9</f>
        <v>2333.33</v>
      </c>
      <c r="S45" s="75">
        <f>[1]Tab!G9</f>
        <v>0.23</v>
      </c>
      <c r="T45" s="76">
        <f>ROUND((R45-Q45)*S45+T44,2)</f>
        <v>536.66</v>
      </c>
      <c r="U45" s="76">
        <f ca="1">ROUND(IF(AND($H$38&lt;=R45,$H$38&gt;=Q45),T44+($H$38-R44)*S45,0),2)</f>
        <v>0</v>
      </c>
      <c r="V45" s="6"/>
      <c r="W45" s="6"/>
      <c r="X45" s="6"/>
      <c r="Y45" s="6"/>
      <c r="Z45" s="6"/>
    </row>
    <row r="46" spans="1:26" ht="12" customHeight="1" x14ac:dyDescent="0.2">
      <c r="A46" s="101" t="s">
        <v>142</v>
      </c>
      <c r="B46" s="13"/>
      <c r="C46" s="14"/>
      <c r="D46" s="12"/>
      <c r="E46" s="580"/>
      <c r="F46" s="581"/>
      <c r="G46" s="112"/>
      <c r="H46" s="113" t="s">
        <v>33</v>
      </c>
      <c r="I46" s="151"/>
      <c r="J46" s="306">
        <v>28</v>
      </c>
      <c r="K46" s="412"/>
      <c r="L46" s="413"/>
      <c r="M46" s="413"/>
      <c r="N46" s="413"/>
      <c r="O46" s="414"/>
      <c r="P46" s="6"/>
      <c r="Q46" s="78">
        <f>[1]Tab!E10</f>
        <v>2333.34</v>
      </c>
      <c r="R46" s="74">
        <f>[1]Tab!F10</f>
        <v>4166.67</v>
      </c>
      <c r="S46" s="75">
        <f>[1]Tab!G10</f>
        <v>0.35</v>
      </c>
      <c r="T46" s="76">
        <f>ROUND((R46-Q46)*S46+T45,2)</f>
        <v>1178.33</v>
      </c>
      <c r="U46" s="76">
        <f ca="1">ROUND(IF(AND($H$38&lt;=R46,$H$38&gt;=Q46),T45+($H$38-R45)*S46,0),2)</f>
        <v>0</v>
      </c>
      <c r="V46" s="6"/>
      <c r="W46" s="6"/>
      <c r="X46" s="6"/>
      <c r="Y46" s="6"/>
      <c r="Z46" s="6"/>
    </row>
    <row r="47" spans="1:26" ht="12" customHeight="1" x14ac:dyDescent="0.2">
      <c r="A47" s="104" t="s">
        <v>114</v>
      </c>
      <c r="B47" s="15"/>
      <c r="C47" s="8"/>
      <c r="D47" s="16"/>
      <c r="E47" s="511"/>
      <c r="F47" s="512"/>
      <c r="G47" s="17"/>
      <c r="H47" s="407"/>
      <c r="I47" s="152">
        <f>-H47</f>
        <v>0</v>
      </c>
      <c r="J47" s="306">
        <v>29</v>
      </c>
      <c r="K47" s="412"/>
      <c r="L47" s="413"/>
      <c r="M47" s="413"/>
      <c r="N47" s="413"/>
      <c r="O47" s="414"/>
      <c r="P47" s="1"/>
      <c r="Q47" s="78">
        <f>[1]Tab!E11</f>
        <v>4166.68</v>
      </c>
      <c r="R47" s="74">
        <f>[1]Tab!F11</f>
        <v>0</v>
      </c>
      <c r="S47" s="75">
        <f>[1]Tab!G11</f>
        <v>0.43</v>
      </c>
      <c r="T47" s="76"/>
      <c r="U47" s="76">
        <f ca="1">ROUND(IF(AND($H$38&lt;=R47,$H$38&gt;=Q47),T46+($H$38-R46)*S47,0),2)</f>
        <v>0</v>
      </c>
      <c r="V47" s="1"/>
      <c r="W47" s="1"/>
      <c r="X47" s="1"/>
      <c r="Y47" s="1"/>
      <c r="Z47" s="1"/>
    </row>
    <row r="48" spans="1:26" ht="12" customHeight="1" x14ac:dyDescent="0.2">
      <c r="A48" s="224" t="s">
        <v>115</v>
      </c>
      <c r="B48" s="225"/>
      <c r="C48" s="226" t="s">
        <v>50</v>
      </c>
      <c r="D48" s="227">
        <v>11</v>
      </c>
      <c r="E48" s="578"/>
      <c r="F48" s="579"/>
      <c r="G48" s="228"/>
      <c r="H48" s="339">
        <f>IF(I29=0,0,VLOOKUP($P$3,'[1]Mit-2'!$A$65:$AD$79,20,FALSE))</f>
        <v>0</v>
      </c>
      <c r="I48" s="155">
        <f>IF($I$9="",ROUND(IF($I$29=0,0,-H48/D48),2),-Steuern!N47)</f>
        <v>0</v>
      </c>
      <c r="J48" s="306">
        <v>30</v>
      </c>
      <c r="K48" s="412"/>
      <c r="L48" s="413"/>
      <c r="M48" s="413"/>
      <c r="N48" s="413"/>
      <c r="O48" s="414"/>
      <c r="P48" s="1"/>
      <c r="Q48" s="78">
        <f>[1]Tab!E12</f>
        <v>0</v>
      </c>
      <c r="R48" s="74"/>
      <c r="S48" s="75">
        <f>[1]Tab!G12</f>
        <v>0</v>
      </c>
      <c r="T48" s="77"/>
      <c r="U48" s="76">
        <f ca="1">ROUND(IF($H$38&gt;R47,T47+($H$38-R47)*S48,0),2)</f>
        <v>0</v>
      </c>
      <c r="V48" s="1"/>
      <c r="W48" s="1"/>
      <c r="X48" s="1"/>
      <c r="Y48" s="1"/>
      <c r="Z48" s="1"/>
    </row>
    <row r="49" spans="1:26" ht="12" customHeight="1" x14ac:dyDescent="0.2">
      <c r="A49" s="110" t="s">
        <v>147</v>
      </c>
      <c r="B49" s="231">
        <v>0.3</v>
      </c>
      <c r="C49" s="232">
        <f>H48</f>
        <v>0</v>
      </c>
      <c r="D49" s="233">
        <f>ROUND(C49*B49,2)</f>
        <v>0</v>
      </c>
      <c r="E49" s="514"/>
      <c r="F49" s="515"/>
      <c r="G49" s="234" t="s">
        <v>244</v>
      </c>
      <c r="H49" s="235">
        <v>9</v>
      </c>
      <c r="I49" s="393">
        <f>IF($I$9="",ROUND(IF($I$29=0,0,-D49/H49),2),-Steuern!R48)</f>
        <v>0</v>
      </c>
      <c r="J49" s="310">
        <v>31</v>
      </c>
      <c r="K49" s="412"/>
      <c r="L49" s="413"/>
      <c r="M49" s="413"/>
      <c r="N49" s="413"/>
      <c r="O49" s="414"/>
      <c r="P49" s="1"/>
      <c r="Q49" s="78">
        <f>[1]Tab!E13</f>
        <v>0</v>
      </c>
      <c r="R49" s="74"/>
      <c r="S49" s="75">
        <f>[1]Tab!G13</f>
        <v>0</v>
      </c>
      <c r="T49" s="77"/>
      <c r="U49" s="76">
        <f ca="1">ROUND(IF($H$38&gt;R48,T48+($H$38-R48)*S49,0),2)</f>
        <v>0</v>
      </c>
      <c r="V49" s="1"/>
      <c r="W49" s="1"/>
      <c r="X49" s="1"/>
      <c r="Y49" s="1"/>
      <c r="Z49" s="1"/>
    </row>
    <row r="50" spans="1:26" ht="12" customHeight="1" x14ac:dyDescent="0.2">
      <c r="A50" s="109" t="s">
        <v>139</v>
      </c>
      <c r="B50" s="21"/>
      <c r="C50" s="114" t="s">
        <v>34</v>
      </c>
      <c r="D50" s="114" t="s">
        <v>160</v>
      </c>
      <c r="E50" s="509" t="s">
        <v>161</v>
      </c>
      <c r="F50" s="510"/>
      <c r="G50" s="114" t="s">
        <v>162</v>
      </c>
      <c r="H50" s="230" t="s">
        <v>36</v>
      </c>
      <c r="I50" s="156"/>
      <c r="J50" s="311"/>
      <c r="K50" s="500">
        <f>SUM(K19:K49)</f>
        <v>0</v>
      </c>
      <c r="L50" s="496">
        <f>SUM(L19:L49)</f>
        <v>0</v>
      </c>
      <c r="M50" s="496">
        <f>SUM(M19:M49)</f>
        <v>0</v>
      </c>
      <c r="N50" s="496">
        <f>SUM(N19:N49)</f>
        <v>0</v>
      </c>
      <c r="O50" s="502">
        <f>SUM(O19:O49)</f>
        <v>0</v>
      </c>
      <c r="P50" s="6"/>
      <c r="Q50" s="208" t="s">
        <v>8</v>
      </c>
      <c r="R50" s="209"/>
      <c r="S50" s="79"/>
      <c r="T50" s="64"/>
      <c r="U50" s="80">
        <f ca="1">ROUND(SUM(U44:U47),2)</f>
        <v>0</v>
      </c>
      <c r="V50" s="6"/>
      <c r="W50" s="6"/>
      <c r="X50" s="6"/>
      <c r="Y50" s="6"/>
      <c r="Z50" s="6"/>
    </row>
    <row r="51" spans="1:26" ht="12" customHeight="1" x14ac:dyDescent="0.2">
      <c r="A51" s="104" t="s">
        <v>117</v>
      </c>
      <c r="B51" s="22"/>
      <c r="C51" s="60">
        <f>IF(I29=0,0,Steuern!J79)</f>
        <v>0</v>
      </c>
      <c r="D51" s="60">
        <f>IF(I29=0,0,Steuern!L79)</f>
        <v>0</v>
      </c>
      <c r="E51" s="511">
        <f>IF(I29=0,0,Steuern!N79)</f>
        <v>0</v>
      </c>
      <c r="F51" s="512"/>
      <c r="G51" s="60">
        <f>IF(I29=0,0,Steuern!P79)</f>
        <v>0</v>
      </c>
      <c r="H51" s="67">
        <f>IF(I29=0,0,Steuern!R79)</f>
        <v>0</v>
      </c>
      <c r="I51" s="156"/>
      <c r="J51" s="309"/>
      <c r="K51" s="501"/>
      <c r="L51" s="497"/>
      <c r="M51" s="497"/>
      <c r="N51" s="497"/>
      <c r="O51" s="503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</row>
    <row r="52" spans="1:26" ht="12" customHeight="1" x14ac:dyDescent="0.2">
      <c r="A52" s="110" t="s">
        <v>138</v>
      </c>
      <c r="B52" s="23"/>
      <c r="C52" s="68">
        <f>IF($I$9="",0,Steuern!J89)</f>
        <v>0</v>
      </c>
      <c r="D52" s="68">
        <f>U60</f>
        <v>0</v>
      </c>
      <c r="E52" s="520">
        <f>IF($I$9="",0,conguaglio!F60)</f>
        <v>0</v>
      </c>
      <c r="F52" s="521"/>
      <c r="G52" s="50">
        <f>IF($I$9="",0,conguaglio!G63)</f>
        <v>0</v>
      </c>
      <c r="H52" s="312">
        <f>IF((D52-E52-G52)&lt;0,0,D52-E52-G52)</f>
        <v>0</v>
      </c>
      <c r="I52" s="153">
        <f>IF($I$9="",0,H51-H52)</f>
        <v>0</v>
      </c>
      <c r="J52" s="504" t="s">
        <v>230</v>
      </c>
      <c r="K52" s="505"/>
      <c r="L52" s="505"/>
      <c r="M52" s="505"/>
      <c r="N52" s="505"/>
      <c r="O52" s="506"/>
      <c r="P52" s="6"/>
      <c r="Q52" s="6"/>
      <c r="R52" s="6"/>
      <c r="S52" s="6"/>
      <c r="T52" s="66"/>
      <c r="U52" s="6"/>
      <c r="V52" s="6"/>
      <c r="W52" s="6"/>
      <c r="X52" s="6"/>
      <c r="Y52" s="6"/>
      <c r="Z52" s="6"/>
    </row>
    <row r="53" spans="1:26" ht="12" customHeight="1" x14ac:dyDescent="0.2">
      <c r="A53" s="119" t="s">
        <v>119</v>
      </c>
      <c r="B53" s="26"/>
      <c r="C53" s="26"/>
      <c r="D53" s="26"/>
      <c r="E53" s="26"/>
      <c r="F53" s="26"/>
      <c r="G53" s="26"/>
      <c r="H53" s="26"/>
      <c r="I53" s="154">
        <f ca="1">SUM(I29:I52)</f>
        <v>0</v>
      </c>
      <c r="J53" s="307"/>
      <c r="O53" s="134"/>
      <c r="P53" s="3"/>
      <c r="Q53" s="492" t="s">
        <v>6</v>
      </c>
      <c r="R53" s="493"/>
      <c r="S53" s="494" t="s">
        <v>7</v>
      </c>
      <c r="T53" s="498" t="s">
        <v>5</v>
      </c>
      <c r="U53" s="490" t="s">
        <v>2</v>
      </c>
      <c r="V53" s="3"/>
      <c r="W53" s="3"/>
      <c r="X53" s="3"/>
      <c r="Y53" s="3"/>
      <c r="Z53" s="3"/>
    </row>
    <row r="54" spans="1:26" ht="12" customHeight="1" x14ac:dyDescent="0.2">
      <c r="A54" s="115" t="s">
        <v>120</v>
      </c>
      <c r="B54" s="95" t="s">
        <v>124</v>
      </c>
      <c r="C54" s="191">
        <f>IF($I$9="",0,VLOOKUP($P$3,'[1]Mit-1'!$A$5:$AD$19,22,FALSE))</f>
        <v>0</v>
      </c>
      <c r="D54" s="95" t="s">
        <v>38</v>
      </c>
      <c r="E54" s="522">
        <f>ROUND(IF($I$9="",0,Steuern!$D$89/13.5),2)</f>
        <v>0</v>
      </c>
      <c r="F54" s="523"/>
      <c r="G54" s="95" t="s">
        <v>40</v>
      </c>
      <c r="H54" s="192">
        <f>IF($I$9="",0,Steuern!$F$89)</f>
        <v>0</v>
      </c>
      <c r="I54" s="398">
        <f>C54+E54-H54</f>
        <v>0</v>
      </c>
      <c r="J54" s="568"/>
      <c r="K54" s="476"/>
      <c r="L54" s="476"/>
      <c r="M54" s="476"/>
      <c r="N54" s="476"/>
      <c r="O54" s="477"/>
      <c r="Q54" s="81" t="s">
        <v>0</v>
      </c>
      <c r="R54" s="82" t="s">
        <v>1</v>
      </c>
      <c r="S54" s="495"/>
      <c r="T54" s="499"/>
      <c r="U54" s="491"/>
      <c r="V54" s="1"/>
      <c r="W54" s="1"/>
      <c r="X54" s="1"/>
    </row>
    <row r="55" spans="1:26" ht="15" customHeight="1" x14ac:dyDescent="0.2">
      <c r="A55" s="116" t="s">
        <v>121</v>
      </c>
      <c r="B55" s="117" t="s">
        <v>37</v>
      </c>
      <c r="C55" s="405"/>
      <c r="D55" s="117" t="s">
        <v>39</v>
      </c>
      <c r="E55" s="524"/>
      <c r="F55" s="525"/>
      <c r="G55" s="117" t="s">
        <v>35</v>
      </c>
      <c r="H55" s="407"/>
      <c r="I55" s="399">
        <f>-(E55-H55)</f>
        <v>0</v>
      </c>
      <c r="J55" s="402"/>
      <c r="K55" s="401"/>
      <c r="L55" s="401"/>
      <c r="M55" s="401"/>
      <c r="N55" s="572"/>
      <c r="O55" s="573"/>
      <c r="Q55" s="78">
        <f>[1]Tab!A8</f>
        <v>0</v>
      </c>
      <c r="R55" s="74">
        <f>[1]Tab!D8</f>
        <v>15000</v>
      </c>
      <c r="S55" s="75">
        <f>S44</f>
        <v>0.23</v>
      </c>
      <c r="T55" s="76">
        <f>ROUND(R55*S55,2)</f>
        <v>3450</v>
      </c>
      <c r="U55" s="76">
        <f>ROUND(IF(AND($C$52&lt;=R55,C52&gt;0),$C$52*S55,0),2)</f>
        <v>0</v>
      </c>
      <c r="V55" s="1"/>
      <c r="W55" s="1"/>
      <c r="X55" s="1"/>
    </row>
    <row r="56" spans="1:26" ht="16.899999999999999" customHeight="1" x14ac:dyDescent="0.2">
      <c r="A56" s="453" t="s">
        <v>122</v>
      </c>
      <c r="B56" s="118" t="s">
        <v>125</v>
      </c>
      <c r="C56" s="454">
        <f>ROUND(C54*'[1]Mit-2'!$F$84%,2)</f>
        <v>0</v>
      </c>
      <c r="D56" s="118" t="s">
        <v>262</v>
      </c>
      <c r="E56" s="520">
        <f>ROUND(C56*[1]Tab!$G$142,2)</f>
        <v>0</v>
      </c>
      <c r="F56" s="521"/>
      <c r="G56" s="455"/>
      <c r="H56" s="456"/>
      <c r="I56" s="153">
        <f>C56-E56</f>
        <v>0</v>
      </c>
      <c r="J56" s="402"/>
      <c r="K56" s="401"/>
      <c r="L56" s="401"/>
      <c r="M56" s="401"/>
      <c r="N56" s="572"/>
      <c r="O56" s="573"/>
      <c r="Q56" s="78">
        <f>[1]Tab!A9</f>
        <v>15000.01</v>
      </c>
      <c r="R56" s="74">
        <f>[1]Tab!D9</f>
        <v>28000</v>
      </c>
      <c r="S56" s="75">
        <f>S45</f>
        <v>0.23</v>
      </c>
      <c r="T56" s="76">
        <f>ROUND((R56-Q56)*S56+T55,2)</f>
        <v>6440</v>
      </c>
      <c r="U56" s="76">
        <f>ROUND(IF(AND($C$52&lt;=R56,$C$52&gt;=Q56),T55+($C$52-R55)*S56,0),2)</f>
        <v>0</v>
      </c>
    </row>
    <row r="57" spans="1:26" ht="12.75" customHeight="1" x14ac:dyDescent="0.2">
      <c r="A57" s="448" t="s">
        <v>242</v>
      </c>
      <c r="B57" s="449"/>
      <c r="C57" s="449"/>
      <c r="D57" s="450"/>
      <c r="E57" s="518"/>
      <c r="F57" s="518"/>
      <c r="G57" s="450"/>
      <c r="H57" s="451"/>
      <c r="I57" s="452">
        <f ca="1">ROUND(IF(SUM(H39:H40)&gt;=0,0,VLOOKUP($P$3,'[1]Mit-1'!$A$5:$AC$19,20,FALSE)/[1]Firma!$C$24*IF(R9=0,T9,R9)),2)</f>
        <v>0</v>
      </c>
      <c r="J57" s="569"/>
      <c r="K57" s="570"/>
      <c r="L57" s="570"/>
      <c r="M57" s="570"/>
      <c r="N57" s="570"/>
      <c r="O57" s="571"/>
      <c r="P57" s="3"/>
      <c r="Q57" s="78">
        <f>[1]Tab!A10</f>
        <v>28000.01</v>
      </c>
      <c r="R57" s="74">
        <f>[1]Tab!D10</f>
        <v>50000</v>
      </c>
      <c r="S57" s="75">
        <f>S46</f>
        <v>0.35</v>
      </c>
      <c r="T57" s="76">
        <f>ROUND((R57-Q57)*S57+T56,2)</f>
        <v>14140</v>
      </c>
      <c r="U57" s="76">
        <f>ROUND(IF(AND($C$52&lt;=R57,$C$52&gt;=Q57),T56+($C$52-R56)*S57,0),2)</f>
        <v>0</v>
      </c>
      <c r="V57" s="3"/>
      <c r="W57" s="3"/>
      <c r="X57" s="3"/>
      <c r="Y57" s="3"/>
      <c r="Z57" s="3"/>
    </row>
    <row r="58" spans="1:26" ht="12.75" customHeight="1" x14ac:dyDescent="0.2">
      <c r="A58" s="465"/>
      <c r="B58" s="466"/>
      <c r="C58" s="466"/>
      <c r="D58" s="467"/>
      <c r="E58" s="519"/>
      <c r="F58" s="519"/>
      <c r="G58" s="467"/>
      <c r="H58" s="468"/>
      <c r="I58" s="469"/>
      <c r="J58" s="402"/>
      <c r="K58" s="401"/>
      <c r="L58" s="401"/>
      <c r="M58" s="401"/>
      <c r="N58" s="572"/>
      <c r="O58" s="573"/>
      <c r="P58" s="3"/>
      <c r="Q58" s="78">
        <f>[1]Tab!A11</f>
        <v>50000.01</v>
      </c>
      <c r="R58" s="74">
        <f>[1]Tab!D11</f>
        <v>0</v>
      </c>
      <c r="S58" s="75">
        <f>S47</f>
        <v>0.43</v>
      </c>
      <c r="T58" s="76"/>
      <c r="U58" s="76">
        <f>ROUND(IF(AND($C$52&lt;=R58,$C$52&gt;=Q58),T57+($C$52-R57)*S58,0),2)</f>
        <v>0</v>
      </c>
      <c r="V58" s="3"/>
      <c r="W58" s="3"/>
      <c r="X58" s="3"/>
      <c r="Y58" s="3"/>
      <c r="Z58" s="3"/>
    </row>
    <row r="59" spans="1:26" ht="12" customHeight="1" x14ac:dyDescent="0.2">
      <c r="A59" s="106" t="s">
        <v>123</v>
      </c>
      <c r="B59" s="8"/>
      <c r="C59" s="49"/>
      <c r="D59" s="117" t="s">
        <v>41</v>
      </c>
      <c r="E59" s="576">
        <f>-'03'!H59</f>
        <v>0</v>
      </c>
      <c r="F59" s="577"/>
      <c r="G59" s="117" t="s">
        <v>42</v>
      </c>
      <c r="H59" s="145">
        <f>IF(I29=0,0,SUM(I60-Q61))</f>
        <v>0</v>
      </c>
      <c r="I59" s="399">
        <f>IF(I29=0,0,SUM(E59,H59))</f>
        <v>0</v>
      </c>
      <c r="J59" s="402"/>
      <c r="K59" s="401"/>
      <c r="L59" s="401"/>
      <c r="M59" s="401"/>
      <c r="N59" s="572"/>
      <c r="O59" s="573"/>
      <c r="P59" s="3"/>
      <c r="Q59" s="78">
        <f>[1]Tab!A12</f>
        <v>0</v>
      </c>
      <c r="R59" s="74"/>
      <c r="S59" s="75">
        <f>S48</f>
        <v>0</v>
      </c>
      <c r="T59" s="77"/>
      <c r="U59" s="76">
        <f>ROUND(IF($C$52&gt;R58,T58+($C$52-R58)*S59,0),2)</f>
        <v>0</v>
      </c>
      <c r="V59" s="3"/>
      <c r="W59" s="3"/>
      <c r="X59" s="3"/>
      <c r="Y59" s="3"/>
      <c r="Z59" s="3"/>
    </row>
    <row r="60" spans="1:26" ht="12" customHeight="1" x14ac:dyDescent="0.2">
      <c r="A60" s="319" t="s">
        <v>43</v>
      </c>
      <c r="B60" s="320"/>
      <c r="C60" s="320"/>
      <c r="D60" s="320"/>
      <c r="E60" s="320"/>
      <c r="F60" s="320"/>
      <c r="G60" s="320"/>
      <c r="H60" s="320"/>
      <c r="I60" s="400">
        <f>IF(I29=0,0,ROUNDUP(Q61,0))</f>
        <v>0</v>
      </c>
      <c r="J60" s="403"/>
      <c r="K60" s="404"/>
      <c r="L60" s="404"/>
      <c r="M60" s="404"/>
      <c r="N60" s="566"/>
      <c r="O60" s="567"/>
      <c r="P60" s="6"/>
      <c r="Q60" s="208" t="s">
        <v>8</v>
      </c>
      <c r="R60" s="209"/>
      <c r="S60" s="79"/>
      <c r="T60" s="64"/>
      <c r="U60" s="80">
        <f>ROUND(SUM(U55:U59),2)</f>
        <v>0</v>
      </c>
      <c r="V60" s="6"/>
      <c r="W60" s="6"/>
      <c r="X60" s="6"/>
      <c r="Y60" s="6"/>
      <c r="Z60" s="6"/>
    </row>
    <row r="61" spans="1:26" ht="15" customHeight="1" x14ac:dyDescent="0.2">
      <c r="A61" s="1"/>
      <c r="B61" s="1"/>
      <c r="C61" s="1"/>
      <c r="D61" s="1"/>
      <c r="E61" s="1"/>
      <c r="F61" s="1"/>
      <c r="G61" s="1"/>
      <c r="H61" s="1"/>
      <c r="I61" s="1"/>
      <c r="K61" s="1"/>
      <c r="L61" s="1"/>
      <c r="M61" s="1"/>
      <c r="Q61" s="142">
        <f ca="1">SUM(I53:I58,E59)</f>
        <v>0</v>
      </c>
    </row>
    <row r="62" spans="1:26" x14ac:dyDescent="0.2">
      <c r="Q62" s="142"/>
    </row>
    <row r="63" spans="1:26" ht="15.75" customHeight="1" x14ac:dyDescent="0.2">
      <c r="Q63" s="142"/>
    </row>
    <row r="64" spans="1:26" x14ac:dyDescent="0.2">
      <c r="A64" s="71" t="str">
        <f>'[1]Beschr-Descr.'!A1</f>
        <v xml:space="preserve">Beschreibung Lohnelemente  </v>
      </c>
      <c r="Q64" s="142"/>
    </row>
    <row r="65" spans="1:6" x14ac:dyDescent="0.2">
      <c r="A65" s="71" t="str">
        <f>'[1]Beschr-Descr.'!A2</f>
        <v>Descrizione elementi di retribuzione</v>
      </c>
      <c r="F65" s="71" t="s">
        <v>3</v>
      </c>
    </row>
    <row r="66" spans="1:6" x14ac:dyDescent="0.2">
      <c r="A66" s="84">
        <f>'[1]Beschr-Descr.'!A3</f>
        <v>0</v>
      </c>
      <c r="B66" s="84">
        <f>'[1]Beschr-Descr.'!B3</f>
        <v>0</v>
      </c>
      <c r="C66" s="84">
        <f>'[1]Beschr-Descr.'!C3</f>
        <v>0</v>
      </c>
      <c r="D66" s="84">
        <f>'[1]Beschr-Descr.'!D3</f>
        <v>0</v>
      </c>
      <c r="E66" s="84">
        <f>'[1]Beschr-Descr.'!E3</f>
        <v>0</v>
      </c>
    </row>
    <row r="67" spans="1:6" x14ac:dyDescent="0.2">
      <c r="A67" s="84" t="str">
        <f>'[1]Beschr-Descr.'!A4</f>
        <v>Normalentlohnung</v>
      </c>
      <c r="B67" s="84"/>
      <c r="C67" s="84">
        <f>'[1]Beschr-Descr.'!C4</f>
        <v>0</v>
      </c>
      <c r="D67" s="84">
        <f>'[1]Beschr-Descr.'!D4</f>
        <v>0</v>
      </c>
      <c r="E67" s="207">
        <f>'[1]Beschr-Descr.'!E4</f>
        <v>0</v>
      </c>
      <c r="F67" t="s">
        <v>44</v>
      </c>
    </row>
    <row r="68" spans="1:6" x14ac:dyDescent="0.2">
      <c r="A68" s="84" t="str">
        <f>'[1]Beschr-Descr.'!A5</f>
        <v>Genossener Urlaub</v>
      </c>
      <c r="B68" s="84"/>
      <c r="C68" s="84">
        <f>'[1]Beschr-Descr.'!C5</f>
        <v>0</v>
      </c>
      <c r="D68" s="84">
        <f>'[1]Beschr-Descr.'!D5</f>
        <v>0</v>
      </c>
      <c r="E68" s="207">
        <f>'[1]Beschr-Descr.'!E5</f>
        <v>0</v>
      </c>
      <c r="F68" t="s">
        <v>45</v>
      </c>
    </row>
    <row r="69" spans="1:6" x14ac:dyDescent="0.2">
      <c r="A69" s="84" t="str">
        <f>'[1]Beschr-Descr.'!A6</f>
        <v>Genossene Freistellungen</v>
      </c>
      <c r="B69" s="84"/>
      <c r="C69" s="84">
        <f>'[1]Beschr-Descr.'!C6</f>
        <v>0</v>
      </c>
      <c r="D69" s="84">
        <f>'[1]Beschr-Descr.'!D6</f>
        <v>0</v>
      </c>
      <c r="E69" s="207">
        <f>'[1]Beschr-Descr.'!E6</f>
        <v>0</v>
      </c>
      <c r="F69" t="s">
        <v>46</v>
      </c>
    </row>
    <row r="70" spans="1:6" x14ac:dyDescent="0.2">
      <c r="A70" s="84" t="str">
        <f>'[1]Beschr-Descr.'!A7</f>
        <v>Nicht genossener Urlaub</v>
      </c>
      <c r="B70" s="84"/>
      <c r="C70" s="84">
        <f>'[1]Beschr-Descr.'!C7</f>
        <v>0</v>
      </c>
      <c r="D70" s="84">
        <f>'[1]Beschr-Descr.'!D7</f>
        <v>0</v>
      </c>
      <c r="E70" s="207">
        <f>'[1]Beschr-Descr.'!E7</f>
        <v>0</v>
      </c>
    </row>
    <row r="71" spans="1:6" x14ac:dyDescent="0.2">
      <c r="A71" s="84" t="str">
        <f>'[1]Beschr-Descr.'!A8</f>
        <v>Nicht genossene Freistellungen</v>
      </c>
      <c r="B71" s="84"/>
      <c r="C71" s="84">
        <f>'[1]Beschr-Descr.'!C8</f>
        <v>0</v>
      </c>
      <c r="D71" s="84">
        <f>'[1]Beschr-Descr.'!D8</f>
        <v>0</v>
      </c>
      <c r="E71" s="207">
        <f>'[1]Beschr-Descr.'!E8</f>
        <v>0</v>
      </c>
    </row>
    <row r="72" spans="1:6" x14ac:dyDescent="0.2">
      <c r="A72" s="84" t="str">
        <f>'[1]Beschr-Descr.'!A9</f>
        <v>Nicht genossene Feiertage</v>
      </c>
      <c r="B72" s="84"/>
      <c r="C72" s="84">
        <f>'[1]Beschr-Descr.'!C9</f>
        <v>0</v>
      </c>
      <c r="D72" s="84">
        <f>'[1]Beschr-Descr.'!D9</f>
        <v>0</v>
      </c>
      <c r="E72" s="207">
        <f>'[1]Beschr-Descr.'!E9</f>
        <v>0</v>
      </c>
    </row>
    <row r="73" spans="1:6" x14ac:dyDescent="0.2">
      <c r="A73" s="84" t="str">
        <f>'[1]Beschr-Descr.'!A10</f>
        <v>Zulage für Kassarisiko</v>
      </c>
      <c r="B73" s="84"/>
      <c r="C73" s="84">
        <f>'[1]Beschr-Descr.'!C10</f>
        <v>0</v>
      </c>
      <c r="D73" s="84">
        <f>'[1]Beschr-Descr.'!D10</f>
        <v>0</v>
      </c>
      <c r="E73" s="207">
        <f>'[1]Beschr-Descr.'!E10</f>
        <v>0</v>
      </c>
    </row>
    <row r="74" spans="1:6" x14ac:dyDescent="0.2">
      <c r="A74" s="84">
        <f>'[1]Beschr-Descr.'!A11</f>
        <v>0</v>
      </c>
      <c r="B74" s="84"/>
      <c r="C74" s="84">
        <f>'[1]Beschr-Descr.'!C11</f>
        <v>0</v>
      </c>
      <c r="D74" s="84">
        <f>'[1]Beschr-Descr.'!D11</f>
        <v>0</v>
      </c>
      <c r="E74" s="207">
        <f>'[1]Beschr-Descr.'!E11</f>
        <v>0</v>
      </c>
    </row>
    <row r="75" spans="1:6" x14ac:dyDescent="0.2">
      <c r="A75" s="84" t="str">
        <f>'[1]Beschr-Descr.'!A12</f>
        <v xml:space="preserve">Überstunden 15%  </v>
      </c>
      <c r="B75" s="84"/>
      <c r="C75" s="84">
        <f>'[1]Beschr-Descr.'!C12</f>
        <v>0</v>
      </c>
      <c r="D75" s="84">
        <f>'[1]Beschr-Descr.'!D12</f>
        <v>0</v>
      </c>
      <c r="E75" s="207">
        <f>'[1]Beschr-Descr.'!E12</f>
        <v>0.15</v>
      </c>
    </row>
    <row r="76" spans="1:6" x14ac:dyDescent="0.2">
      <c r="A76" s="84" t="str">
        <f>'[1]Beschr-Descr.'!A13</f>
        <v xml:space="preserve">Überstunden 20%  </v>
      </c>
      <c r="B76" s="84"/>
      <c r="C76" s="84">
        <f>'[1]Beschr-Descr.'!C13</f>
        <v>0</v>
      </c>
      <c r="D76" s="84">
        <f>'[1]Beschr-Descr.'!D13</f>
        <v>0</v>
      </c>
      <c r="E76" s="207">
        <f>'[1]Beschr-Descr.'!E13</f>
        <v>0.2</v>
      </c>
    </row>
    <row r="77" spans="1:6" x14ac:dyDescent="0.2">
      <c r="A77" s="84" t="str">
        <f>'[1]Beschr-Descr.'!A14</f>
        <v xml:space="preserve">Überstunden 30%  </v>
      </c>
      <c r="B77" s="84"/>
      <c r="C77" s="84">
        <f>'[1]Beschr-Descr.'!C14</f>
        <v>0</v>
      </c>
      <c r="D77" s="84">
        <f>'[1]Beschr-Descr.'!D14</f>
        <v>0</v>
      </c>
      <c r="E77" s="207">
        <f>'[1]Beschr-Descr.'!E14</f>
        <v>0.3</v>
      </c>
    </row>
    <row r="78" spans="1:6" x14ac:dyDescent="0.2">
      <c r="A78" s="84" t="str">
        <f>'[1]Beschr-Descr.'!A15</f>
        <v xml:space="preserve">Überstunden 50%  </v>
      </c>
      <c r="B78" s="84"/>
      <c r="C78" s="84">
        <f>'[1]Beschr-Descr.'!C15</f>
        <v>0</v>
      </c>
      <c r="D78" s="84">
        <f>'[1]Beschr-Descr.'!D15</f>
        <v>0</v>
      </c>
      <c r="E78" s="207">
        <f>'[1]Beschr-Descr.'!E15</f>
        <v>0.5</v>
      </c>
    </row>
    <row r="79" spans="1:6" x14ac:dyDescent="0.2">
      <c r="A79" s="84" t="str">
        <f>'[1]Beschr-Descr.'!A16</f>
        <v>Nachtstunden 50%</v>
      </c>
      <c r="B79" s="84"/>
      <c r="C79" s="84">
        <f>'[1]Beschr-Descr.'!C16</f>
        <v>0</v>
      </c>
      <c r="D79" s="84">
        <f>'[1]Beschr-Descr.'!D16</f>
        <v>0</v>
      </c>
      <c r="E79" s="207">
        <f>'[1]Beschr-Descr.'!E16</f>
        <v>0.5</v>
      </c>
    </row>
    <row r="80" spans="1:6" x14ac:dyDescent="0.2">
      <c r="A80" s="84">
        <f>'[1]Beschr-Descr.'!A17</f>
        <v>0</v>
      </c>
      <c r="B80" s="84"/>
      <c r="C80" s="84">
        <f>'[1]Beschr-Descr.'!C17</f>
        <v>0</v>
      </c>
      <c r="D80" s="84">
        <f>'[1]Beschr-Descr.'!D17</f>
        <v>0</v>
      </c>
      <c r="E80" s="207">
        <f>'[1]Beschr-Descr.'!E17</f>
        <v>0</v>
      </c>
    </row>
    <row r="81" spans="1:5" x14ac:dyDescent="0.2">
      <c r="A81" s="84" t="str">
        <f>'[1]Beschr-Descr.'!A18</f>
        <v>Krankheit gesamt</v>
      </c>
      <c r="B81" s="84"/>
      <c r="C81" s="84">
        <f>'[1]Beschr-Descr.'!C18</f>
        <v>0</v>
      </c>
      <c r="D81" s="84">
        <f>'[1]Beschr-Descr.'!D18</f>
        <v>0</v>
      </c>
      <c r="E81" s="207">
        <f>'[1]Beschr-Descr.'!E18</f>
        <v>0</v>
      </c>
    </row>
    <row r="82" spans="1:5" x14ac:dyDescent="0.2">
      <c r="A82" s="84" t="str">
        <f>'[1]Beschr-Descr.'!A19</f>
        <v xml:space="preserve">Krankheit INPS-Anteil 50,00% </v>
      </c>
      <c r="B82" s="84"/>
      <c r="C82" s="84">
        <f>'[1]Beschr-Descr.'!C19</f>
        <v>0</v>
      </c>
      <c r="D82" s="84">
        <f>'[1]Beschr-Descr.'!D19</f>
        <v>0</v>
      </c>
      <c r="E82" s="207">
        <f>'[1]Beschr-Descr.'!E19</f>
        <v>-0.5</v>
      </c>
    </row>
    <row r="83" spans="1:5" x14ac:dyDescent="0.2">
      <c r="A83" s="84" t="str">
        <f>'[1]Beschr-Descr.'!A20</f>
        <v xml:space="preserve">Krankheit INPS-Anteil 66,67% </v>
      </c>
      <c r="B83" s="84"/>
      <c r="C83" s="84">
        <f>'[1]Beschr-Descr.'!C20</f>
        <v>0</v>
      </c>
      <c r="D83" s="84">
        <f>'[1]Beschr-Descr.'!D20</f>
        <v>0</v>
      </c>
      <c r="E83" s="207">
        <f>'[1]Beschr-Descr.'!E20</f>
        <v>-0.66669999999999996</v>
      </c>
    </row>
    <row r="84" spans="1:5" x14ac:dyDescent="0.2">
      <c r="A84" s="84" t="str">
        <f>'[1]Beschr-Descr.'!A21</f>
        <v>Mutterschaft Gesamtbetrag</v>
      </c>
      <c r="B84" s="84"/>
      <c r="C84" s="84">
        <f>'[1]Beschr-Descr.'!C21</f>
        <v>0</v>
      </c>
      <c r="D84" s="84">
        <f>'[1]Beschr-Descr.'!D21</f>
        <v>0</v>
      </c>
      <c r="E84" s="207">
        <f>'[1]Beschr-Descr.'!E21</f>
        <v>0</v>
      </c>
    </row>
    <row r="85" spans="1:5" x14ac:dyDescent="0.2">
      <c r="A85" s="84" t="str">
        <f>'[1]Beschr-Descr.'!A22</f>
        <v>Mutterschaft INPS-Anteil 80,00%</v>
      </c>
      <c r="B85" s="84"/>
      <c r="C85" s="84">
        <f>'[1]Beschr-Descr.'!C22</f>
        <v>0</v>
      </c>
      <c r="D85" s="84">
        <f>'[1]Beschr-Descr.'!D22</f>
        <v>0</v>
      </c>
      <c r="E85" s="207">
        <f>'[1]Beschr-Descr.'!E22</f>
        <v>-0.8</v>
      </c>
    </row>
    <row r="86" spans="1:5" x14ac:dyDescent="0.2">
      <c r="A86" s="84" t="str">
        <f>'[1]Beschr-Descr.'!A23</f>
        <v>Abzug Bruttoberechnung Krankengeld INPS</v>
      </c>
      <c r="B86" s="84"/>
      <c r="C86" s="84">
        <f>'[1]Beschr-Descr.'!C23</f>
        <v>0</v>
      </c>
      <c r="D86" s="84">
        <f>'[1]Beschr-Descr.'!D23</f>
        <v>0</v>
      </c>
      <c r="E86" s="207">
        <f>'[1]Beschr-Descr.'!E23</f>
        <v>0.10120030833608633</v>
      </c>
    </row>
    <row r="87" spans="1:5" x14ac:dyDescent="0.2">
      <c r="A87" s="84">
        <f>'[1]Beschr-Descr.'!A24</f>
        <v>0</v>
      </c>
      <c r="B87" s="84"/>
      <c r="C87" s="84">
        <f>'[1]Beschr-Descr.'!C24</f>
        <v>0</v>
      </c>
      <c r="D87" s="84">
        <f>'[1]Beschr-Descr.'!D24</f>
        <v>0</v>
      </c>
      <c r="E87" s="207">
        <f>'[1]Beschr-Descr.'!E24</f>
        <v>0</v>
      </c>
    </row>
    <row r="88" spans="1:5" x14ac:dyDescent="0.2">
      <c r="A88" s="84" t="str">
        <f>'[1]Beschr-Descr.'!A25</f>
        <v xml:space="preserve">13. Monatsgehalt  </v>
      </c>
      <c r="B88" s="84"/>
      <c r="C88" s="84">
        <f>'[1]Beschr-Descr.'!C25</f>
        <v>0</v>
      </c>
      <c r="D88" s="84">
        <f>'[1]Beschr-Descr.'!D25</f>
        <v>0</v>
      </c>
      <c r="E88" s="207">
        <f>'[1]Beschr-Descr.'!E25</f>
        <v>0</v>
      </c>
    </row>
    <row r="89" spans="1:5" x14ac:dyDescent="0.2">
      <c r="A89" s="84" t="str">
        <f>'[1]Beschr-Descr.'!A26</f>
        <v xml:space="preserve">14. Monatsgehalt  </v>
      </c>
      <c r="B89" s="84"/>
      <c r="C89" s="84">
        <f>'[1]Beschr-Descr.'!C26</f>
        <v>0</v>
      </c>
      <c r="D89" s="84">
        <f>'[1]Beschr-Descr.'!D26</f>
        <v>0</v>
      </c>
      <c r="E89" s="207">
        <f>'[1]Beschr-Descr.'!E26</f>
        <v>0</v>
      </c>
    </row>
    <row r="90" spans="1:5" x14ac:dyDescent="0.2">
      <c r="A90" s="84" t="str">
        <f>'[1]Beschr-Descr.'!A27</f>
        <v xml:space="preserve">Nichteinhaltung Kündigungsfrist  </v>
      </c>
      <c r="B90" s="84"/>
      <c r="C90" s="84">
        <f>'[1]Beschr-Descr.'!C27</f>
        <v>0</v>
      </c>
      <c r="D90" s="84">
        <f>'[1]Beschr-Descr.'!D27</f>
        <v>0</v>
      </c>
      <c r="E90" s="207">
        <f>'[1]Beschr-Descr.'!E27</f>
        <v>0</v>
      </c>
    </row>
    <row r="91" spans="1:5" x14ac:dyDescent="0.2">
      <c r="A91" s="84" t="str">
        <f>'[1]Beschr-Descr.'!A28</f>
        <v>Una Tantum</v>
      </c>
      <c r="B91" s="84"/>
      <c r="C91" s="84">
        <f>'[1]Beschr-Descr.'!C28</f>
        <v>0</v>
      </c>
      <c r="D91" s="84">
        <f>'[1]Beschr-Descr.'!D28</f>
        <v>0</v>
      </c>
      <c r="E91" s="207">
        <f>'[1]Beschr-Descr.'!E28</f>
        <v>0</v>
      </c>
    </row>
    <row r="92" spans="1:5" x14ac:dyDescent="0.2">
      <c r="A92" s="84" t="str">
        <f>'[1]Beschr-Descr.'!A29</f>
        <v>Prämie</v>
      </c>
      <c r="B92" s="84"/>
      <c r="C92" s="84">
        <f>'[1]Beschr-Descr.'!C29</f>
        <v>0</v>
      </c>
      <c r="D92" s="84">
        <f>'[1]Beschr-Descr.'!D29</f>
        <v>0</v>
      </c>
      <c r="E92" s="207">
        <f>'[1]Beschr-Descr.'!E29</f>
        <v>0</v>
      </c>
    </row>
    <row r="93" spans="1:5" x14ac:dyDescent="0.2">
      <c r="A93" s="84">
        <f>'[1]Beschr-Descr.'!A30</f>
        <v>0</v>
      </c>
      <c r="B93" s="84"/>
      <c r="C93" s="84">
        <f>'[1]Beschr-Descr.'!C30</f>
        <v>0</v>
      </c>
      <c r="D93" s="84">
        <f>'[1]Beschr-Descr.'!D30</f>
        <v>0</v>
      </c>
      <c r="E93" s="207">
        <f>'[1]Beschr-Descr.'!E30</f>
        <v>0</v>
      </c>
    </row>
    <row r="94" spans="1:5" x14ac:dyDescent="0.2">
      <c r="A94" s="84">
        <f>'[1]Beschr-Descr.'!A31</f>
        <v>0</v>
      </c>
      <c r="B94" s="84"/>
      <c r="C94" s="84">
        <f>'[1]Beschr-Descr.'!C31</f>
        <v>0</v>
      </c>
      <c r="D94" s="84">
        <f>'[1]Beschr-Descr.'!D31</f>
        <v>0</v>
      </c>
      <c r="E94" s="207">
        <f>'[1]Beschr-Descr.'!E31</f>
        <v>0</v>
      </c>
    </row>
    <row r="95" spans="1:5" x14ac:dyDescent="0.2">
      <c r="A95" s="84" t="str">
        <f>'[1]Beschr-Descr.'!A32</f>
        <v xml:space="preserve">Retribuzione ordinaria </v>
      </c>
      <c r="B95" s="84"/>
      <c r="C95" s="84">
        <f>'[1]Beschr-Descr.'!C32</f>
        <v>0</v>
      </c>
      <c r="D95" s="84">
        <f>'[1]Beschr-Descr.'!D32</f>
        <v>0</v>
      </c>
      <c r="E95" s="207">
        <f>'[1]Beschr-Descr.'!E32</f>
        <v>0</v>
      </c>
    </row>
    <row r="96" spans="1:5" x14ac:dyDescent="0.2">
      <c r="A96" s="84" t="str">
        <f>'[1]Beschr-Descr.'!A33</f>
        <v>Ferie godute</v>
      </c>
      <c r="B96" s="84"/>
      <c r="C96" s="84">
        <f>'[1]Beschr-Descr.'!C33</f>
        <v>0</v>
      </c>
      <c r="D96" s="84">
        <f>'[1]Beschr-Descr.'!D33</f>
        <v>0</v>
      </c>
      <c r="E96" s="207">
        <f>'[1]Beschr-Descr.'!E33</f>
        <v>0</v>
      </c>
    </row>
    <row r="97" spans="1:5" x14ac:dyDescent="0.2">
      <c r="A97" s="84" t="str">
        <f>'[1]Beschr-Descr.'!A34</f>
        <v>Permessi goduti</v>
      </c>
      <c r="B97" s="84"/>
      <c r="C97" s="84">
        <f>'[1]Beschr-Descr.'!C34</f>
        <v>0</v>
      </c>
      <c r="D97" s="84">
        <f>'[1]Beschr-Descr.'!D34</f>
        <v>0</v>
      </c>
      <c r="E97" s="207">
        <f>'[1]Beschr-Descr.'!E34</f>
        <v>0</v>
      </c>
    </row>
    <row r="98" spans="1:5" x14ac:dyDescent="0.2">
      <c r="A98" s="84" t="str">
        <f>'[1]Beschr-Descr.'!A35</f>
        <v>Ferie non godute</v>
      </c>
      <c r="B98" s="84"/>
      <c r="C98" s="84">
        <f>'[1]Beschr-Descr.'!C35</f>
        <v>0</v>
      </c>
      <c r="D98" s="84">
        <f>'[1]Beschr-Descr.'!D35</f>
        <v>0</v>
      </c>
      <c r="E98" s="207">
        <f>'[1]Beschr-Descr.'!E35</f>
        <v>0</v>
      </c>
    </row>
    <row r="99" spans="1:5" x14ac:dyDescent="0.2">
      <c r="A99" s="84" t="str">
        <f>'[1]Beschr-Descr.'!A36</f>
        <v>Ferie non godute</v>
      </c>
      <c r="B99" s="84"/>
      <c r="C99" s="84">
        <f>'[1]Beschr-Descr.'!C36</f>
        <v>0</v>
      </c>
      <c r="D99" s="84">
        <f>'[1]Beschr-Descr.'!D36</f>
        <v>0</v>
      </c>
      <c r="E99" s="207">
        <f>'[1]Beschr-Descr.'!E36</f>
        <v>0</v>
      </c>
    </row>
    <row r="100" spans="1:5" x14ac:dyDescent="0.2">
      <c r="A100" s="84" t="str">
        <f>'[1]Beschr-Descr.'!A37</f>
        <v>Festività non godute</v>
      </c>
      <c r="B100" s="84"/>
      <c r="C100" s="84">
        <f>'[1]Beschr-Descr.'!C37</f>
        <v>0</v>
      </c>
      <c r="D100" s="84">
        <f>'[1]Beschr-Descr.'!D37</f>
        <v>0</v>
      </c>
      <c r="E100" s="207">
        <f>'[1]Beschr-Descr.'!E37</f>
        <v>0</v>
      </c>
    </row>
    <row r="101" spans="1:5" x14ac:dyDescent="0.2">
      <c r="A101" s="84" t="str">
        <f>'[1]Beschr-Descr.'!A38</f>
        <v>Indennità rischio cassa</v>
      </c>
      <c r="B101" s="84"/>
      <c r="C101" s="84">
        <f>'[1]Beschr-Descr.'!C38</f>
        <v>0</v>
      </c>
      <c r="D101" s="84">
        <f>'[1]Beschr-Descr.'!D38</f>
        <v>0</v>
      </c>
      <c r="E101" s="207">
        <f>'[1]Beschr-Descr.'!E38</f>
        <v>0</v>
      </c>
    </row>
    <row r="102" spans="1:5" x14ac:dyDescent="0.2">
      <c r="A102" s="84">
        <f>'[1]Beschr-Descr.'!A39</f>
        <v>0</v>
      </c>
      <c r="B102" s="84"/>
      <c r="C102" s="84">
        <f>'[1]Beschr-Descr.'!C39</f>
        <v>0</v>
      </c>
      <c r="D102" s="84">
        <f>'[1]Beschr-Descr.'!D39</f>
        <v>0</v>
      </c>
      <c r="E102" s="207">
        <f>'[1]Beschr-Descr.'!E39</f>
        <v>0</v>
      </c>
    </row>
    <row r="103" spans="1:5" x14ac:dyDescent="0.2">
      <c r="A103" s="84" t="str">
        <f>'[1]Beschr-Descr.'!A40</f>
        <v>Ore straordinarie 15%</v>
      </c>
      <c r="B103" s="84"/>
      <c r="C103" s="84">
        <f>'[1]Beschr-Descr.'!C40</f>
        <v>0</v>
      </c>
      <c r="D103" s="84">
        <f>'[1]Beschr-Descr.'!D40</f>
        <v>0</v>
      </c>
      <c r="E103" s="207">
        <f>'[1]Beschr-Descr.'!E40</f>
        <v>0.15</v>
      </c>
    </row>
    <row r="104" spans="1:5" x14ac:dyDescent="0.2">
      <c r="A104" s="84" t="str">
        <f>'[1]Beschr-Descr.'!A41</f>
        <v>Ore straordinarie 20%</v>
      </c>
      <c r="B104" s="84"/>
      <c r="C104" s="84">
        <f>'[1]Beschr-Descr.'!C41</f>
        <v>0</v>
      </c>
      <c r="D104" s="84">
        <f>'[1]Beschr-Descr.'!D41</f>
        <v>0</v>
      </c>
      <c r="E104" s="207">
        <f>'[1]Beschr-Descr.'!E41</f>
        <v>0.2</v>
      </c>
    </row>
    <row r="105" spans="1:5" x14ac:dyDescent="0.2">
      <c r="A105" s="84" t="str">
        <f>'[1]Beschr-Descr.'!A42</f>
        <v>Ore straordinarie 30%</v>
      </c>
      <c r="B105" s="84"/>
      <c r="C105" s="84">
        <f>'[1]Beschr-Descr.'!C42</f>
        <v>0</v>
      </c>
      <c r="D105" s="84">
        <f>'[1]Beschr-Descr.'!D42</f>
        <v>0</v>
      </c>
      <c r="E105" s="207">
        <f>'[1]Beschr-Descr.'!E42</f>
        <v>0.3</v>
      </c>
    </row>
    <row r="106" spans="1:5" x14ac:dyDescent="0.2">
      <c r="A106" s="84" t="str">
        <f>'[1]Beschr-Descr.'!A43</f>
        <v>Ore straordinarie 50%</v>
      </c>
      <c r="B106" s="84"/>
      <c r="C106" s="84">
        <f>'[1]Beschr-Descr.'!C43</f>
        <v>0</v>
      </c>
      <c r="D106" s="84">
        <f>'[1]Beschr-Descr.'!D43</f>
        <v>0</v>
      </c>
      <c r="E106" s="207">
        <f>'[1]Beschr-Descr.'!E43</f>
        <v>0.5</v>
      </c>
    </row>
    <row r="107" spans="1:5" x14ac:dyDescent="0.2">
      <c r="A107" s="84" t="str">
        <f>'[1]Beschr-Descr.'!A44</f>
        <v>Ore notturne 50%</v>
      </c>
      <c r="B107" s="84"/>
      <c r="C107" s="84">
        <f>'[1]Beschr-Descr.'!C44</f>
        <v>0</v>
      </c>
      <c r="D107" s="84">
        <f>'[1]Beschr-Descr.'!D44</f>
        <v>0</v>
      </c>
      <c r="E107" s="207">
        <f>'[1]Beschr-Descr.'!E44</f>
        <v>0.5</v>
      </c>
    </row>
    <row r="108" spans="1:5" x14ac:dyDescent="0.2">
      <c r="A108" s="84">
        <f>'[1]Beschr-Descr.'!A45</f>
        <v>0</v>
      </c>
      <c r="B108" s="84"/>
      <c r="C108" s="84">
        <f>'[1]Beschr-Descr.'!C45</f>
        <v>0</v>
      </c>
      <c r="D108" s="84">
        <f>'[1]Beschr-Descr.'!D45</f>
        <v>0</v>
      </c>
      <c r="E108" s="207">
        <f>'[1]Beschr-Descr.'!E45</f>
        <v>0</v>
      </c>
    </row>
    <row r="109" spans="1:5" x14ac:dyDescent="0.2">
      <c r="A109" s="84" t="str">
        <f>'[1]Beschr-Descr.'!A46</f>
        <v>Indennità di malattia totale</v>
      </c>
      <c r="B109" s="84"/>
      <c r="C109" s="84">
        <f>'[1]Beschr-Descr.'!C46</f>
        <v>0</v>
      </c>
      <c r="D109" s="84">
        <f>'[1]Beschr-Descr.'!D46</f>
        <v>0</v>
      </c>
      <c r="E109" s="207">
        <f>'[1]Beschr-Descr.'!E46</f>
        <v>0</v>
      </c>
    </row>
    <row r="110" spans="1:5" x14ac:dyDescent="0.2">
      <c r="A110" s="84" t="str">
        <f>'[1]Beschr-Descr.'!A47</f>
        <v>Indennità di malattia quota INPS 50%</v>
      </c>
      <c r="B110" s="84"/>
      <c r="C110" s="84">
        <f>'[1]Beschr-Descr.'!C47</f>
        <v>0</v>
      </c>
      <c r="D110" s="84">
        <f>'[1]Beschr-Descr.'!D47</f>
        <v>0</v>
      </c>
      <c r="E110" s="207">
        <f>'[1]Beschr-Descr.'!E47</f>
        <v>-0.5</v>
      </c>
    </row>
    <row r="111" spans="1:5" x14ac:dyDescent="0.2">
      <c r="A111" s="84" t="str">
        <f>'[1]Beschr-Descr.'!A48</f>
        <v>Indennità di malattia quota INPS 66,67%</v>
      </c>
      <c r="B111" s="84"/>
      <c r="C111" s="84">
        <f>'[1]Beschr-Descr.'!C48</f>
        <v>0</v>
      </c>
      <c r="D111" s="84">
        <f>'[1]Beschr-Descr.'!D48</f>
        <v>0</v>
      </c>
      <c r="E111" s="207">
        <f>'[1]Beschr-Descr.'!E48</f>
        <v>-0.66669999999999996</v>
      </c>
    </row>
    <row r="112" spans="1:5" x14ac:dyDescent="0.2">
      <c r="A112" s="84" t="str">
        <f>'[1]Beschr-Descr.'!A49</f>
        <v>Indennità di maternità importo totale</v>
      </c>
      <c r="B112" s="84"/>
      <c r="C112" s="84">
        <f>'[1]Beschr-Descr.'!C49</f>
        <v>0</v>
      </c>
      <c r="D112" s="84">
        <f>'[1]Beschr-Descr.'!D49</f>
        <v>0</v>
      </c>
      <c r="E112" s="207">
        <f>'[1]Beschr-Descr.'!E49</f>
        <v>0</v>
      </c>
    </row>
    <row r="113" spans="1:5" x14ac:dyDescent="0.2">
      <c r="A113" s="84" t="str">
        <f>'[1]Beschr-Descr.'!A50</f>
        <v>Indennità di maternità quota INPS 80,00%</v>
      </c>
      <c r="B113" s="84"/>
      <c r="C113" s="84">
        <f>'[1]Beschr-Descr.'!C50</f>
        <v>0</v>
      </c>
      <c r="D113" s="84">
        <f>'[1]Beschr-Descr.'!D50</f>
        <v>0</v>
      </c>
      <c r="E113" s="207">
        <f>'[1]Beschr-Descr.'!E50</f>
        <v>-0.8</v>
      </c>
    </row>
    <row r="114" spans="1:5" x14ac:dyDescent="0.2">
      <c r="A114" s="84" t="str">
        <f>'[1]Beschr-Descr.'!A51</f>
        <v>Lordizzazione indennità malattia quota INPS</v>
      </c>
      <c r="B114" s="84"/>
      <c r="C114" s="84">
        <f>'[1]Beschr-Descr.'!C51</f>
        <v>0</v>
      </c>
      <c r="D114" s="84">
        <f>'[1]Beschr-Descr.'!D51</f>
        <v>0</v>
      </c>
      <c r="E114" s="207">
        <f>'[1]Beschr-Descr.'!E51</f>
        <v>0.1012</v>
      </c>
    </row>
    <row r="115" spans="1:5" x14ac:dyDescent="0.2">
      <c r="A115" s="84">
        <f>'[1]Beschr-Descr.'!A52</f>
        <v>0</v>
      </c>
      <c r="B115" s="84"/>
      <c r="C115" s="84">
        <f>'[1]Beschr-Descr.'!C52</f>
        <v>0</v>
      </c>
      <c r="D115" s="84">
        <f>'[1]Beschr-Descr.'!D52</f>
        <v>0</v>
      </c>
      <c r="E115" s="207">
        <f>'[1]Beschr-Descr.'!E52</f>
        <v>0</v>
      </c>
    </row>
    <row r="116" spans="1:5" x14ac:dyDescent="0.2">
      <c r="A116" s="84" t="str">
        <f>'[1]Beschr-Descr.'!A53</f>
        <v>13a mensilità</v>
      </c>
      <c r="B116" s="84"/>
      <c r="C116" s="84">
        <f>'[1]Beschr-Descr.'!C53</f>
        <v>0</v>
      </c>
      <c r="D116" s="84">
        <f>'[1]Beschr-Descr.'!D53</f>
        <v>0</v>
      </c>
      <c r="E116" s="207">
        <f>'[1]Beschr-Descr.'!E53</f>
        <v>0</v>
      </c>
    </row>
    <row r="117" spans="1:5" x14ac:dyDescent="0.2">
      <c r="A117" s="84" t="str">
        <f>'[1]Beschr-Descr.'!A54</f>
        <v>14a mensilità</v>
      </c>
      <c r="B117" s="84"/>
      <c r="C117" s="84">
        <f>'[1]Beschr-Descr.'!C54</f>
        <v>0</v>
      </c>
      <c r="D117" s="84">
        <f>'[1]Beschr-Descr.'!D54</f>
        <v>0</v>
      </c>
      <c r="E117" s="207">
        <f>'[1]Beschr-Descr.'!E54</f>
        <v>0</v>
      </c>
    </row>
    <row r="118" spans="1:5" x14ac:dyDescent="0.2">
      <c r="A118" s="84" t="str">
        <f>'[1]Beschr-Descr.'!A55</f>
        <v>Mancato rispetto periodo preavviso licenziamento</v>
      </c>
      <c r="B118" s="84"/>
      <c r="C118" s="84">
        <f>'[1]Beschr-Descr.'!C55</f>
        <v>0</v>
      </c>
      <c r="D118" s="84">
        <f>'[1]Beschr-Descr.'!D55</f>
        <v>0</v>
      </c>
      <c r="E118" s="207">
        <f>'[1]Beschr-Descr.'!E55</f>
        <v>0</v>
      </c>
    </row>
    <row r="119" spans="1:5" x14ac:dyDescent="0.2">
      <c r="A119" s="84" t="str">
        <f>'[1]Beschr-Descr.'!A56</f>
        <v>Una Tantum</v>
      </c>
      <c r="B119" s="84"/>
      <c r="C119" s="84">
        <f>'[1]Beschr-Descr.'!C56</f>
        <v>0</v>
      </c>
      <c r="D119" s="84">
        <f>'[1]Beschr-Descr.'!D56</f>
        <v>0</v>
      </c>
      <c r="E119" s="207">
        <f>'[1]Beschr-Descr.'!E56</f>
        <v>0</v>
      </c>
    </row>
    <row r="120" spans="1:5" x14ac:dyDescent="0.2">
      <c r="A120" s="84" t="str">
        <f>'[1]Beschr-Descr.'!A57</f>
        <v>Premio</v>
      </c>
      <c r="B120" s="84"/>
      <c r="C120" s="84">
        <f>'[1]Beschr-Descr.'!C57</f>
        <v>0</v>
      </c>
      <c r="D120" s="84">
        <f>'[1]Beschr-Descr.'!D57</f>
        <v>0</v>
      </c>
      <c r="E120" s="207">
        <f>'[1]Beschr-Descr.'!E57</f>
        <v>0</v>
      </c>
    </row>
    <row r="121" spans="1:5" x14ac:dyDescent="0.2">
      <c r="A121" s="84">
        <f>'[1]Beschr-Descr.'!A58</f>
        <v>0</v>
      </c>
      <c r="B121" s="84"/>
      <c r="C121" s="84">
        <f>'[1]Beschr-Descr.'!C58</f>
        <v>0</v>
      </c>
      <c r="D121" s="84">
        <f>'[1]Beschr-Descr.'!D58</f>
        <v>0</v>
      </c>
      <c r="E121" s="207">
        <f>'[1]Beschr-Descr.'!E58</f>
        <v>0</v>
      </c>
    </row>
    <row r="122" spans="1:5" x14ac:dyDescent="0.2">
      <c r="A122">
        <f>'[1]Beschr-Descr.'!A63</f>
        <v>0</v>
      </c>
    </row>
    <row r="123" spans="1:5" x14ac:dyDescent="0.2">
      <c r="A123">
        <f>'[1]Beschr-Descr.'!A64</f>
        <v>0</v>
      </c>
    </row>
    <row r="124" spans="1:5" x14ac:dyDescent="0.2">
      <c r="A124">
        <f>'[1]Beschr-Descr.'!A65</f>
        <v>0</v>
      </c>
    </row>
    <row r="125" spans="1:5" x14ac:dyDescent="0.2">
      <c r="A125">
        <f>'[1]Beschr-Descr.'!A66</f>
        <v>0</v>
      </c>
    </row>
    <row r="126" spans="1:5" x14ac:dyDescent="0.2">
      <c r="A126">
        <f>'[1]Beschr-Descr.'!A67</f>
        <v>0</v>
      </c>
    </row>
    <row r="127" spans="1:5" x14ac:dyDescent="0.2">
      <c r="A127">
        <f>'[1]Beschr-Descr.'!A68</f>
        <v>0</v>
      </c>
    </row>
    <row r="128" spans="1:5" x14ac:dyDescent="0.2">
      <c r="A128">
        <f>'[1]Beschr-Descr.'!A69</f>
        <v>0</v>
      </c>
    </row>
    <row r="129" spans="1:1" x14ac:dyDescent="0.2">
      <c r="A129">
        <f>'[1]Beschr-Descr.'!A70</f>
        <v>0</v>
      </c>
    </row>
    <row r="130" spans="1:1" x14ac:dyDescent="0.2">
      <c r="A130">
        <f>'[1]Beschr-Descr.'!A71</f>
        <v>0</v>
      </c>
    </row>
    <row r="131" spans="1:1" x14ac:dyDescent="0.2">
      <c r="A131">
        <f>'[1]Beschr-Descr.'!A72</f>
        <v>0</v>
      </c>
    </row>
    <row r="132" spans="1:1" x14ac:dyDescent="0.2">
      <c r="A132">
        <f>'[1]Beschr-Descr.'!A73</f>
        <v>0</v>
      </c>
    </row>
    <row r="133" spans="1:1" x14ac:dyDescent="0.2">
      <c r="A133">
        <f>'[1]Beschr-Descr.'!A74</f>
        <v>0</v>
      </c>
    </row>
    <row r="134" spans="1:1" x14ac:dyDescent="0.2">
      <c r="A134">
        <f>'[1]Beschr-Descr.'!A75</f>
        <v>0</v>
      </c>
    </row>
    <row r="135" spans="1:1" x14ac:dyDescent="0.2">
      <c r="A135">
        <f>'[1]Beschr-Descr.'!A76</f>
        <v>0</v>
      </c>
    </row>
    <row r="136" spans="1:1" x14ac:dyDescent="0.2">
      <c r="A136">
        <f>'[1]Beschr-Descr.'!A77</f>
        <v>0</v>
      </c>
    </row>
    <row r="137" spans="1:1" x14ac:dyDescent="0.2">
      <c r="A137">
        <f>'[1]Beschr-Descr.'!A78</f>
        <v>0</v>
      </c>
    </row>
    <row r="138" spans="1:1" x14ac:dyDescent="0.2">
      <c r="A138">
        <f>'[1]Beschr-Descr.'!A79</f>
        <v>0</v>
      </c>
    </row>
    <row r="139" spans="1:1" x14ac:dyDescent="0.2">
      <c r="A139">
        <f>'[1]Beschr-Descr.'!A80</f>
        <v>0</v>
      </c>
    </row>
    <row r="140" spans="1:1" x14ac:dyDescent="0.2">
      <c r="A140">
        <f>'[1]Beschr-Descr.'!A81</f>
        <v>0</v>
      </c>
    </row>
    <row r="141" spans="1:1" x14ac:dyDescent="0.2">
      <c r="A141">
        <f>'[1]Beschr-Descr.'!A82</f>
        <v>0</v>
      </c>
    </row>
    <row r="142" spans="1:1" x14ac:dyDescent="0.2">
      <c r="A142">
        <f>'[1]Beschr-Descr.'!A83</f>
        <v>0</v>
      </c>
    </row>
    <row r="143" spans="1:1" x14ac:dyDescent="0.2">
      <c r="A143">
        <f>'[1]Beschr-Descr.'!A84</f>
        <v>0</v>
      </c>
    </row>
    <row r="144" spans="1:1" x14ac:dyDescent="0.2">
      <c r="A144">
        <f>'[1]Beschr-Descr.'!A85</f>
        <v>0</v>
      </c>
    </row>
    <row r="145" spans="1:1" x14ac:dyDescent="0.2">
      <c r="A145">
        <f>'[1]Beschr-Descr.'!A86</f>
        <v>0</v>
      </c>
    </row>
    <row r="146" spans="1:1" x14ac:dyDescent="0.2">
      <c r="A146">
        <f>'[1]Beschr-Descr.'!A87</f>
        <v>0</v>
      </c>
    </row>
    <row r="147" spans="1:1" x14ac:dyDescent="0.2">
      <c r="A147">
        <f>'[1]Beschr-Descr.'!A88</f>
        <v>0</v>
      </c>
    </row>
    <row r="148" spans="1:1" x14ac:dyDescent="0.2">
      <c r="A148">
        <f>'[1]Beschr-Descr.'!A89</f>
        <v>0</v>
      </c>
    </row>
    <row r="149" spans="1:1" x14ac:dyDescent="0.2">
      <c r="A149">
        <f>'[1]Beschr-Descr.'!A90</f>
        <v>0</v>
      </c>
    </row>
    <row r="150" spans="1:1" x14ac:dyDescent="0.2">
      <c r="A150">
        <f>'[1]Beschr-Descr.'!A91</f>
        <v>0</v>
      </c>
    </row>
    <row r="151" spans="1:1" x14ac:dyDescent="0.2">
      <c r="A151">
        <f>'[1]Beschr-Descr.'!A92</f>
        <v>0</v>
      </c>
    </row>
    <row r="152" spans="1:1" x14ac:dyDescent="0.2">
      <c r="A152">
        <f>'[1]Beschr-Descr.'!A93</f>
        <v>0</v>
      </c>
    </row>
    <row r="153" spans="1:1" x14ac:dyDescent="0.2">
      <c r="A153">
        <f>'[1]Beschr-Descr.'!A94</f>
        <v>0</v>
      </c>
    </row>
    <row r="154" spans="1:1" x14ac:dyDescent="0.2">
      <c r="A154">
        <f>'[1]Beschr-Descr.'!A95</f>
        <v>0</v>
      </c>
    </row>
    <row r="155" spans="1:1" x14ac:dyDescent="0.2">
      <c r="A155">
        <f>'[1]Beschr-Descr.'!A96</f>
        <v>0</v>
      </c>
    </row>
    <row r="156" spans="1:1" x14ac:dyDescent="0.2">
      <c r="A156">
        <f>'[1]Beschr-Descr.'!A97</f>
        <v>0</v>
      </c>
    </row>
    <row r="157" spans="1:1" x14ac:dyDescent="0.2">
      <c r="A157">
        <f>'[1]Beschr-Descr.'!A98</f>
        <v>0</v>
      </c>
    </row>
    <row r="158" spans="1:1" x14ac:dyDescent="0.2">
      <c r="A158">
        <f>'[1]Beschr-Descr.'!A99</f>
        <v>0</v>
      </c>
    </row>
    <row r="159" spans="1:1" x14ac:dyDescent="0.2">
      <c r="A159">
        <f>'[1]Beschr-Descr.'!A100</f>
        <v>0</v>
      </c>
    </row>
    <row r="160" spans="1:1" x14ac:dyDescent="0.2">
      <c r="A160">
        <f>'[1]Beschr-Descr.'!A101</f>
        <v>0</v>
      </c>
    </row>
    <row r="161" spans="1:1" x14ac:dyDescent="0.2">
      <c r="A161">
        <f>'[1]Beschr-Descr.'!A102</f>
        <v>0</v>
      </c>
    </row>
  </sheetData>
  <mergeCells count="70">
    <mergeCell ref="N60:O60"/>
    <mergeCell ref="J54:O54"/>
    <mergeCell ref="J57:O57"/>
    <mergeCell ref="N55:O55"/>
    <mergeCell ref="N56:O56"/>
    <mergeCell ref="N58:O58"/>
    <mergeCell ref="N59:O59"/>
    <mergeCell ref="U53:U54"/>
    <mergeCell ref="S53:S54"/>
    <mergeCell ref="T53:T54"/>
    <mergeCell ref="S41:S43"/>
    <mergeCell ref="T41:T43"/>
    <mergeCell ref="U41:U43"/>
    <mergeCell ref="E3:F3"/>
    <mergeCell ref="E7:F7"/>
    <mergeCell ref="E5:F5"/>
    <mergeCell ref="E8:F8"/>
    <mergeCell ref="Q53:R53"/>
    <mergeCell ref="Q41:R42"/>
    <mergeCell ref="Q5:S6"/>
    <mergeCell ref="Q7:S8"/>
    <mergeCell ref="Q10:S11"/>
    <mergeCell ref="E43:F43"/>
    <mergeCell ref="E9:F9"/>
    <mergeCell ref="E14:F14"/>
    <mergeCell ref="E15:F15"/>
    <mergeCell ref="E13:F13"/>
    <mergeCell ref="E11:F11"/>
    <mergeCell ref="K50:K51"/>
    <mergeCell ref="A28:C28"/>
    <mergeCell ref="A24:C24"/>
    <mergeCell ref="E52:F52"/>
    <mergeCell ref="A26:C26"/>
    <mergeCell ref="A27:C27"/>
    <mergeCell ref="E45:F45"/>
    <mergeCell ref="E46:F46"/>
    <mergeCell ref="E51:F51"/>
    <mergeCell ref="E49:F49"/>
    <mergeCell ref="E44:F44"/>
    <mergeCell ref="A19:C19"/>
    <mergeCell ref="A20:C20"/>
    <mergeCell ref="A21:C21"/>
    <mergeCell ref="A25:C25"/>
    <mergeCell ref="A22:C22"/>
    <mergeCell ref="A23:C23"/>
    <mergeCell ref="E59:F59"/>
    <mergeCell ref="E54:F54"/>
    <mergeCell ref="E58:F58"/>
    <mergeCell ref="E48:F48"/>
    <mergeCell ref="E50:F50"/>
    <mergeCell ref="E56:F56"/>
    <mergeCell ref="E57:F57"/>
    <mergeCell ref="E55:F55"/>
    <mergeCell ref="E12:F12"/>
    <mergeCell ref="E16:F16"/>
    <mergeCell ref="E47:F47"/>
    <mergeCell ref="E18:F18"/>
    <mergeCell ref="N50:N51"/>
    <mergeCell ref="L10:L18"/>
    <mergeCell ref="L50:L51"/>
    <mergeCell ref="J52:O52"/>
    <mergeCell ref="O50:O51"/>
    <mergeCell ref="J1:O1"/>
    <mergeCell ref="J8:O9"/>
    <mergeCell ref="J10:J18"/>
    <mergeCell ref="K10:K18"/>
    <mergeCell ref="M10:M18"/>
    <mergeCell ref="N10:N18"/>
    <mergeCell ref="O10:O18"/>
    <mergeCell ref="M50:M51"/>
  </mergeCells>
  <phoneticPr fontId="2" type="noConversion"/>
  <dataValidations count="2">
    <dataValidation type="list" allowBlank="1" showInputMessage="1" showErrorMessage="1" sqref="E19:E28" xr:uid="{00000000-0002-0000-0300-000000000000}">
      <formula1>$F$67:$F$70</formula1>
    </dataValidation>
    <dataValidation type="list" allowBlank="1" showInputMessage="1" showErrorMessage="1" sqref="A19:C28" xr:uid="{00000000-0002-0000-0300-000001000000}">
      <formula1>$A$67:$A$149</formula1>
    </dataValidation>
  </dataValidations>
  <printOptions horizontalCentered="1" verticalCentered="1"/>
  <pageMargins left="0.19685039370078741" right="0.19685039370078741" top="0.39370078740157483" bottom="0.39370078740157483" header="0" footer="0.19685039370078741"/>
  <pageSetup paperSize="9" orientation="portrait" r:id="rId1"/>
  <headerFooter alignWithMargins="0">
    <oddFooter>&amp;C&amp;"Calibri,Standard"Lohnberechnung FRINO PRO 2017 von Dr. Friedrich Nöckler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122" r:id="rId4" name="Drop Down 2">
              <controlPr defaultSize="0" print="0" autoLine="0" autoPict="0">
                <anchor moveWithCells="1">
                  <from>
                    <xdr:col>6</xdr:col>
                    <xdr:colOff>0</xdr:colOff>
                    <xdr:row>2</xdr:row>
                    <xdr:rowOff>9525</xdr:rowOff>
                  </from>
                  <to>
                    <xdr:col>8</xdr:col>
                    <xdr:colOff>590550</xdr:colOff>
                    <xdr:row>3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5"/>
  <dimension ref="A1:Z161"/>
  <sheetViews>
    <sheetView showGridLines="0" showZeros="0" zoomScaleNormal="100" workbookViewId="0"/>
  </sheetViews>
  <sheetFormatPr baseColWidth="10" defaultRowHeight="12.75" x14ac:dyDescent="0.2"/>
  <cols>
    <col min="1" max="1" width="11.28515625" customWidth="1"/>
    <col min="2" max="2" width="11.7109375" customWidth="1"/>
    <col min="3" max="3" width="10.85546875" customWidth="1"/>
    <col min="4" max="4" width="11.28515625" customWidth="1"/>
    <col min="5" max="5" width="5.42578125" customWidth="1"/>
    <col min="6" max="6" width="6.7109375" customWidth="1"/>
    <col min="7" max="7" width="11.140625" customWidth="1"/>
    <col min="8" max="8" width="9.85546875" customWidth="1"/>
    <col min="9" max="9" width="9.140625" customWidth="1"/>
    <col min="10" max="10" width="2.5703125" style="277" customWidth="1"/>
    <col min="11" max="15" width="2.140625" customWidth="1"/>
    <col min="16" max="16" width="2.28515625" customWidth="1"/>
    <col min="17" max="17" width="11.28515625" customWidth="1"/>
    <col min="18" max="18" width="10.7109375" customWidth="1"/>
    <col min="19" max="19" width="9" bestFit="1" customWidth="1"/>
    <col min="20" max="20" width="11.28515625" bestFit="1" customWidth="1"/>
    <col min="21" max="21" width="8.5703125" bestFit="1" customWidth="1"/>
    <col min="22" max="22" width="10.140625" customWidth="1"/>
    <col min="23" max="24" width="10.7109375" customWidth="1"/>
  </cols>
  <sheetData>
    <row r="1" spans="1:26" s="144" customFormat="1" ht="16.5" customHeight="1" x14ac:dyDescent="0.2">
      <c r="A1" s="316" t="s">
        <v>106</v>
      </c>
      <c r="B1" s="317"/>
      <c r="C1" s="317"/>
      <c r="D1" s="317"/>
      <c r="E1" s="317"/>
      <c r="F1" s="317"/>
      <c r="G1" s="317"/>
      <c r="H1" s="317"/>
      <c r="I1" s="318" t="s">
        <v>47</v>
      </c>
      <c r="J1" s="473">
        <f>[1]Firma!$A$14</f>
        <v>45413</v>
      </c>
      <c r="K1" s="473"/>
      <c r="L1" s="473"/>
      <c r="M1" s="473"/>
      <c r="N1" s="473"/>
      <c r="O1" s="474"/>
      <c r="P1" s="143"/>
      <c r="Q1" s="143"/>
      <c r="R1" s="143"/>
      <c r="S1" s="143"/>
      <c r="T1" s="143"/>
      <c r="U1" s="143"/>
      <c r="V1" s="143"/>
      <c r="W1" s="143"/>
      <c r="X1" s="143"/>
      <c r="Y1" s="143"/>
      <c r="Z1" s="143"/>
    </row>
    <row r="2" spans="1:26" s="84" customFormat="1" ht="12.75" customHeight="1" x14ac:dyDescent="0.2">
      <c r="A2" s="199" t="s">
        <v>107</v>
      </c>
      <c r="B2" s="200"/>
      <c r="C2" s="200"/>
      <c r="D2" s="201"/>
      <c r="E2" s="188" t="s">
        <v>132</v>
      </c>
      <c r="F2" s="202"/>
      <c r="G2" s="204"/>
      <c r="H2" s="204"/>
      <c r="I2" s="205"/>
      <c r="J2" s="302"/>
      <c r="K2" s="201"/>
      <c r="L2" s="201"/>
      <c r="M2" s="201"/>
      <c r="N2" s="200"/>
      <c r="O2" s="303"/>
      <c r="P2" s="83"/>
      <c r="Q2" s="83"/>
      <c r="R2" s="83"/>
      <c r="S2" s="83"/>
      <c r="T2" s="83"/>
      <c r="U2" s="83"/>
      <c r="V2" s="83"/>
      <c r="W2" s="83"/>
      <c r="X2" s="83"/>
      <c r="Y2" s="83"/>
      <c r="Z2" s="83"/>
    </row>
    <row r="3" spans="1:26" ht="16.899999999999999" customHeight="1" x14ac:dyDescent="0.2">
      <c r="A3" s="88" t="s">
        <v>100</v>
      </c>
      <c r="B3" s="83" t="str">
        <f>[1]Firma!$A$4</f>
        <v>Asues GmbH</v>
      </c>
      <c r="C3" s="1"/>
      <c r="D3" s="1"/>
      <c r="E3" s="555" t="s">
        <v>126</v>
      </c>
      <c r="F3" s="556"/>
      <c r="G3" s="1" t="str">
        <f>VLOOKUP(P3,'[1]Mit-1'!$A$5:$B$19,2,FALSE)</f>
        <v>AAAAA BBBBB</v>
      </c>
      <c r="H3" s="1"/>
      <c r="I3" s="2"/>
      <c r="J3" s="304"/>
      <c r="K3" s="72"/>
      <c r="L3" s="72"/>
      <c r="M3" s="72"/>
      <c r="N3" s="72"/>
      <c r="O3" s="134"/>
      <c r="P3" s="72">
        <v>1</v>
      </c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0.5" customHeight="1" x14ac:dyDescent="0.2">
      <c r="A4" s="87" t="s">
        <v>101</v>
      </c>
      <c r="B4" s="3" t="str">
        <f>[1]Firma!$B$4</f>
        <v>Josef-Ferrari-Straße 12; 39031 Bruneck (BZ)</v>
      </c>
      <c r="C4" s="3"/>
      <c r="D4" s="3"/>
      <c r="E4" s="187" t="s">
        <v>127</v>
      </c>
      <c r="G4" s="30" t="str">
        <f>VLOOKUP($P$3,'[1]Mit-1'!$A$5:$U$19,3,FALSE)</f>
        <v>Michael-Pacher-Straße 10, 39031 Bruneck</v>
      </c>
      <c r="I4" s="134"/>
      <c r="N4" s="1"/>
      <c r="O4" s="2"/>
      <c r="P4" s="1"/>
      <c r="V4" s="1"/>
      <c r="W4" s="1"/>
      <c r="X4" s="1"/>
      <c r="Y4" s="1"/>
      <c r="Z4" s="1"/>
    </row>
    <row r="5" spans="1:26" ht="16.899999999999999" customHeight="1" x14ac:dyDescent="0.2">
      <c r="A5" s="88" t="s">
        <v>102</v>
      </c>
      <c r="B5" s="288" t="str">
        <f>[1]Firma!$C$4</f>
        <v>IT09997110213</v>
      </c>
      <c r="C5" s="3"/>
      <c r="D5" s="3"/>
      <c r="E5" s="555" t="s">
        <v>103</v>
      </c>
      <c r="F5" s="556"/>
      <c r="G5" s="30" t="str">
        <f>VLOOKUP($P$3,'[1]Mit-1'!$A$5:$U$19,6,FALSE)</f>
        <v>AAABBB84B11B220G</v>
      </c>
      <c r="I5" s="2"/>
      <c r="K5" s="1"/>
      <c r="L5" s="1"/>
      <c r="M5" s="1"/>
      <c r="N5" s="1"/>
      <c r="O5" s="2"/>
      <c r="P5" s="1"/>
      <c r="Q5" s="546" t="s">
        <v>136</v>
      </c>
      <c r="R5" s="547"/>
      <c r="S5" s="548"/>
      <c r="T5" s="1"/>
      <c r="U5" s="1"/>
      <c r="V5" s="1"/>
      <c r="W5" s="1"/>
      <c r="X5" s="1"/>
      <c r="Y5" s="1"/>
      <c r="Z5" s="1"/>
    </row>
    <row r="6" spans="1:26" ht="16.899999999999999" customHeight="1" x14ac:dyDescent="0.2">
      <c r="A6" s="88" t="s">
        <v>103</v>
      </c>
      <c r="B6" s="288" t="str">
        <f>[1]Firma!$D$4</f>
        <v>09997110213</v>
      </c>
      <c r="C6" s="3"/>
      <c r="D6" s="3"/>
      <c r="E6" s="187" t="s">
        <v>128</v>
      </c>
      <c r="G6" s="149">
        <f>VLOOKUP($P$3,'[1]Mit-1'!$A$28:$C$42,3,FALSE)</f>
        <v>1</v>
      </c>
      <c r="H6" s="89" t="s">
        <v>9</v>
      </c>
      <c r="I6" s="54">
        <f>VLOOKUP($P$3,'[1]Mit-1'!$A$5:$U$19,7,FALSE)</f>
        <v>45597</v>
      </c>
      <c r="N6" s="1"/>
      <c r="O6" s="2"/>
      <c r="P6" s="1"/>
      <c r="Q6" s="549"/>
      <c r="R6" s="550"/>
      <c r="S6" s="551"/>
      <c r="T6" s="1"/>
      <c r="U6" s="1"/>
      <c r="V6" s="1"/>
      <c r="W6" s="1"/>
      <c r="X6" s="1"/>
      <c r="Y6" s="1"/>
      <c r="Z6" s="1"/>
    </row>
    <row r="7" spans="1:26" ht="16.899999999999999" customHeight="1" x14ac:dyDescent="0.2">
      <c r="A7" s="87" t="s">
        <v>104</v>
      </c>
      <c r="B7" s="288" t="str">
        <f>[1]Firma!$E$4</f>
        <v>1420030006</v>
      </c>
      <c r="C7" s="3"/>
      <c r="D7" s="3"/>
      <c r="E7" s="555" t="s">
        <v>129</v>
      </c>
      <c r="F7" s="556"/>
      <c r="G7" s="36">
        <f>VLOOKUP($P$3,'[1]Mit-1'!$A$5:$U$19,4,FALSE)</f>
        <v>30723</v>
      </c>
      <c r="H7" s="90" t="s">
        <v>10</v>
      </c>
      <c r="I7" s="53" t="str">
        <f>VLOOKUP($P$3,'[1]Mit-1'!$A$5:$U$19,5,FALSE)</f>
        <v>Bruneck</v>
      </c>
      <c r="N7" s="1"/>
      <c r="O7" s="2"/>
      <c r="P7" s="1"/>
      <c r="Q7" s="552" t="s">
        <v>134</v>
      </c>
      <c r="R7" s="553"/>
      <c r="S7" s="554"/>
      <c r="T7" s="1"/>
      <c r="U7" s="1"/>
      <c r="V7" s="1"/>
      <c r="W7" s="1"/>
      <c r="X7" s="1"/>
      <c r="Y7" s="1"/>
      <c r="Z7" s="1"/>
    </row>
    <row r="8" spans="1:26" ht="16.899999999999999" customHeight="1" x14ac:dyDescent="0.2">
      <c r="A8" s="87" t="s">
        <v>105</v>
      </c>
      <c r="B8" s="288" t="str">
        <f>[1]Firma!$F$4</f>
        <v>13625</v>
      </c>
      <c r="C8" s="3"/>
      <c r="D8" s="3"/>
      <c r="E8" s="555" t="s">
        <v>130</v>
      </c>
      <c r="F8" s="556"/>
      <c r="G8" s="149">
        <f>VLOOKUP($P$3,'[1]Mit-2'!$A$5:$P$19,6,FALSE)</f>
        <v>2</v>
      </c>
      <c r="H8" s="91" t="s">
        <v>231</v>
      </c>
      <c r="I8" s="150">
        <f>VLOOKUP($P$3,'[1]Mit-2'!$A$46:$AD$60,20,FALSE)</f>
        <v>0</v>
      </c>
      <c r="J8" s="475" t="s">
        <v>226</v>
      </c>
      <c r="K8" s="476"/>
      <c r="L8" s="476"/>
      <c r="M8" s="476"/>
      <c r="N8" s="476"/>
      <c r="O8" s="477"/>
      <c r="P8" s="1"/>
      <c r="Q8" s="552"/>
      <c r="R8" s="553"/>
      <c r="S8" s="554"/>
      <c r="T8" s="1"/>
      <c r="U8" s="1"/>
      <c r="V8" s="1"/>
      <c r="W8" s="1"/>
      <c r="X8" s="1"/>
      <c r="Y8" s="1"/>
      <c r="Z8" s="1"/>
    </row>
    <row r="9" spans="1:26" ht="16.899999999999999" customHeight="1" x14ac:dyDescent="0.2">
      <c r="A9" s="135"/>
      <c r="B9" s="72"/>
      <c r="C9" s="72"/>
      <c r="D9" s="72"/>
      <c r="E9" s="555" t="s">
        <v>131</v>
      </c>
      <c r="F9" s="556"/>
      <c r="G9" s="447">
        <f>VLOOKUP($P$3,'[1]Mit-2'!$A$5:$AD$19,20,FALSE)</f>
        <v>100</v>
      </c>
      <c r="H9" s="90" t="s">
        <v>232</v>
      </c>
      <c r="I9" s="429"/>
      <c r="J9" s="478"/>
      <c r="K9" s="479"/>
      <c r="L9" s="479"/>
      <c r="M9" s="479"/>
      <c r="N9" s="479"/>
      <c r="O9" s="480"/>
      <c r="P9" s="1"/>
      <c r="Q9" s="198"/>
      <c r="R9" s="430"/>
      <c r="S9" s="2"/>
      <c r="T9" s="287">
        <v>31</v>
      </c>
      <c r="U9" s="1"/>
      <c r="V9" s="1"/>
      <c r="W9" s="1"/>
      <c r="X9" s="1"/>
      <c r="Y9" s="1"/>
      <c r="Z9" s="1"/>
    </row>
    <row r="10" spans="1:26" ht="10.9" customHeight="1" x14ac:dyDescent="0.2">
      <c r="A10" s="189" t="s">
        <v>108</v>
      </c>
      <c r="B10" s="26"/>
      <c r="C10" s="26"/>
      <c r="D10" s="26"/>
      <c r="E10" s="26"/>
      <c r="F10" s="26"/>
      <c r="G10" s="26"/>
      <c r="H10" s="26"/>
      <c r="I10" s="190"/>
      <c r="J10" s="481" t="s">
        <v>227</v>
      </c>
      <c r="K10" s="484" t="s">
        <v>228</v>
      </c>
      <c r="L10" s="487" t="s">
        <v>229</v>
      </c>
      <c r="M10" s="487" t="s">
        <v>264</v>
      </c>
      <c r="N10" s="487" t="s">
        <v>265</v>
      </c>
      <c r="O10" s="557" t="s">
        <v>266</v>
      </c>
      <c r="P10" s="1"/>
      <c r="Q10" s="538" t="s">
        <v>207</v>
      </c>
      <c r="R10" s="539"/>
      <c r="S10" s="540"/>
      <c r="T10" s="1"/>
      <c r="U10" s="1"/>
      <c r="V10" s="1"/>
      <c r="W10" s="1"/>
      <c r="X10" s="1"/>
      <c r="Y10" s="1"/>
      <c r="Z10" s="1"/>
    </row>
    <row r="11" spans="1:26" ht="13.9" customHeight="1" x14ac:dyDescent="0.2">
      <c r="A11" s="181" t="s">
        <v>16</v>
      </c>
      <c r="B11" s="182" t="s">
        <v>11</v>
      </c>
      <c r="C11" s="182" t="s">
        <v>12</v>
      </c>
      <c r="D11" s="182" t="s">
        <v>13</v>
      </c>
      <c r="E11" s="544" t="s">
        <v>14</v>
      </c>
      <c r="F11" s="545"/>
      <c r="G11" s="182" t="s">
        <v>15</v>
      </c>
      <c r="H11" s="183" t="s">
        <v>218</v>
      </c>
      <c r="I11" s="186"/>
      <c r="J11" s="482"/>
      <c r="K11" s="485"/>
      <c r="L11" s="488"/>
      <c r="M11" s="488"/>
      <c r="N11" s="488"/>
      <c r="O11" s="558"/>
      <c r="P11" s="4"/>
      <c r="Q11" s="541"/>
      <c r="R11" s="542"/>
      <c r="S11" s="543"/>
      <c r="T11" s="4"/>
      <c r="U11" s="4"/>
      <c r="V11" s="4"/>
      <c r="W11" s="4"/>
      <c r="X11" s="4"/>
      <c r="Y11" s="4"/>
      <c r="Z11" s="4"/>
    </row>
    <row r="12" spans="1:26" x14ac:dyDescent="0.2">
      <c r="A12" s="171">
        <f>VLOOKUP($G$8,'[1]Lohntab-Tab-retr.'!$A$7:$O$15,6,FALSE)</f>
        <v>1477.83</v>
      </c>
      <c r="B12" s="172">
        <f>VLOOKUP($G$8,'[1]Lohntab-Tab-retr.'!$A$21:$O$29,6,FALSE)</f>
        <v>532.54</v>
      </c>
      <c r="C12" s="172">
        <f>I8*VLOOKUP($G$8,'[1]Lohntab-Tab-retr.'!$A$63:$O$71,6,FALSE)</f>
        <v>0</v>
      </c>
      <c r="D12" s="172">
        <f>VLOOKUP($G$8,'[1]Lohntab-Tab-retr.'!$A$35:$O$43,6,FALSE)</f>
        <v>0</v>
      </c>
      <c r="E12" s="560">
        <f>VLOOKUP($G$8,'[1]Lohntab-Tab-retr.'!$A$49:$O$57,6,FALSE)</f>
        <v>8</v>
      </c>
      <c r="F12" s="560"/>
      <c r="G12" s="172">
        <f>VLOOKUP($P$3,'[1]Mit-2'!$A$24:$P$38,7,FALSE)</f>
        <v>0</v>
      </c>
      <c r="H12" s="172">
        <f>VLOOKUP($G$8,'[1]Lohntab-Tab-retr.'!$A$77:$O$85,6,FALSE)</f>
        <v>0</v>
      </c>
      <c r="I12" s="173"/>
      <c r="J12" s="482"/>
      <c r="K12" s="485"/>
      <c r="L12" s="488"/>
      <c r="M12" s="488"/>
      <c r="N12" s="488"/>
      <c r="O12" s="558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13.9" customHeight="1" x14ac:dyDescent="0.2">
      <c r="A13" s="168" t="s">
        <v>17</v>
      </c>
      <c r="B13" s="169" t="s">
        <v>18</v>
      </c>
      <c r="C13" s="169" t="s">
        <v>19</v>
      </c>
      <c r="D13" s="169" t="s">
        <v>20</v>
      </c>
      <c r="E13" s="561" t="s">
        <v>24</v>
      </c>
      <c r="F13" s="562"/>
      <c r="G13" s="169" t="s">
        <v>23</v>
      </c>
      <c r="H13" s="170" t="s">
        <v>21</v>
      </c>
      <c r="I13" s="177" t="s">
        <v>22</v>
      </c>
      <c r="J13" s="482"/>
      <c r="K13" s="485"/>
      <c r="L13" s="488"/>
      <c r="M13" s="488"/>
      <c r="N13" s="488"/>
      <c r="O13" s="558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</row>
    <row r="14" spans="1:26" x14ac:dyDescent="0.2">
      <c r="A14" s="178">
        <f>[1]Tab!G140</f>
        <v>168</v>
      </c>
      <c r="B14" s="240">
        <f>[1]Tab!G141</f>
        <v>26</v>
      </c>
      <c r="C14" s="179">
        <f>ROUND(I14/A14,5)</f>
        <v>12.014110000000001</v>
      </c>
      <c r="D14" s="179">
        <f>ROUND(I14/B14,5)</f>
        <v>77.629620000000003</v>
      </c>
      <c r="E14" s="563">
        <f>COUNT(K19:K49)</f>
        <v>0</v>
      </c>
      <c r="F14" s="563"/>
      <c r="G14" s="240">
        <f>K50</f>
        <v>0</v>
      </c>
      <c r="H14" s="240">
        <v>26</v>
      </c>
      <c r="I14" s="180">
        <f>SUM(A12:I12)</f>
        <v>2018.37</v>
      </c>
      <c r="J14" s="482"/>
      <c r="K14" s="485"/>
      <c r="L14" s="488"/>
      <c r="M14" s="488"/>
      <c r="N14" s="488"/>
      <c r="O14" s="558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</row>
    <row r="15" spans="1:26" ht="13.9" customHeight="1" x14ac:dyDescent="0.2">
      <c r="A15" s="174" t="s">
        <v>26</v>
      </c>
      <c r="B15" s="175" t="s">
        <v>27</v>
      </c>
      <c r="C15" s="175" t="s">
        <v>25</v>
      </c>
      <c r="D15" s="175" t="s">
        <v>259</v>
      </c>
      <c r="E15" s="564" t="s">
        <v>260</v>
      </c>
      <c r="F15" s="565"/>
      <c r="G15" s="175" t="s">
        <v>261</v>
      </c>
      <c r="H15" s="146"/>
      <c r="I15" s="176"/>
      <c r="J15" s="482"/>
      <c r="K15" s="485"/>
      <c r="L15" s="488"/>
      <c r="M15" s="488"/>
      <c r="N15" s="488"/>
      <c r="O15" s="558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</row>
    <row r="16" spans="1:26" x14ac:dyDescent="0.2">
      <c r="A16" s="440">
        <f>'04'!A16+(VLOOKUP($P$3,'[1]Mit-2'!$A$90:$P$104,7,FALSE))*G9%</f>
        <v>0</v>
      </c>
      <c r="B16" s="438">
        <f>M50</f>
        <v>0</v>
      </c>
      <c r="C16" s="438">
        <f>A16-B16</f>
        <v>0</v>
      </c>
      <c r="D16" s="438">
        <f>'04'!D16+(VLOOKUP($P$3,'[1]Mit-2'!$A$90:$AD$104,21,FALSE))*G9%</f>
        <v>0</v>
      </c>
      <c r="E16" s="537">
        <f>N50</f>
        <v>0</v>
      </c>
      <c r="F16" s="537"/>
      <c r="G16" s="438">
        <f>D16-E16</f>
        <v>0</v>
      </c>
      <c r="H16" s="147"/>
      <c r="I16" s="185"/>
      <c r="J16" s="482"/>
      <c r="K16" s="485"/>
      <c r="L16" s="488"/>
      <c r="M16" s="488"/>
      <c r="N16" s="488"/>
      <c r="O16" s="558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</row>
    <row r="17" spans="1:26" ht="3.75" customHeight="1" x14ac:dyDescent="0.2">
      <c r="A17" s="167"/>
      <c r="B17" s="29"/>
      <c r="C17" s="29"/>
      <c r="D17" s="29"/>
      <c r="E17" s="29"/>
      <c r="F17" s="29"/>
      <c r="G17" s="29"/>
      <c r="H17" s="29"/>
      <c r="I17" s="35"/>
      <c r="J17" s="482"/>
      <c r="K17" s="485"/>
      <c r="L17" s="488"/>
      <c r="M17" s="488"/>
      <c r="N17" s="488"/>
      <c r="O17" s="558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16.899999999999999" customHeight="1" x14ac:dyDescent="0.2">
      <c r="A18" s="162" t="s">
        <v>28</v>
      </c>
      <c r="B18" s="163"/>
      <c r="C18" s="163"/>
      <c r="D18" s="96"/>
      <c r="E18" s="535" t="s">
        <v>29</v>
      </c>
      <c r="F18" s="536"/>
      <c r="G18" s="99" t="s">
        <v>31</v>
      </c>
      <c r="H18" s="86" t="s">
        <v>30</v>
      </c>
      <c r="I18" s="100" t="s">
        <v>233</v>
      </c>
      <c r="J18" s="483"/>
      <c r="K18" s="486"/>
      <c r="L18" s="489"/>
      <c r="M18" s="489"/>
      <c r="N18" s="489"/>
      <c r="O18" s="559"/>
      <c r="P18" s="56"/>
      <c r="V18" s="7"/>
      <c r="W18" s="7"/>
      <c r="X18" s="7"/>
      <c r="Y18" s="56"/>
      <c r="Z18" s="56"/>
    </row>
    <row r="19" spans="1:26" ht="12" customHeight="1" x14ac:dyDescent="0.2">
      <c r="A19" s="533"/>
      <c r="B19" s="534"/>
      <c r="C19" s="534"/>
      <c r="D19" s="417"/>
      <c r="E19" s="418"/>
      <c r="F19" s="419"/>
      <c r="G19" s="206">
        <f>VLOOKUP(A19,A66:F121,5,FALSE)</f>
        <v>0</v>
      </c>
      <c r="H19" s="308">
        <f>IF(E19="",0,IF(A19="",0,IF(E19="Std-ore",ROUND(C$14+C$14*G19,5),IF(E19="Tage-gg.",ROUND(D$14+D$14*G19,5),IF(E19="Monat-mese",ROUND($I$14+$I$14*G19,2))))))</f>
        <v>0</v>
      </c>
      <c r="I19" s="151">
        <f>ROUND(H19*F19,2)</f>
        <v>0</v>
      </c>
      <c r="J19" s="305">
        <v>1</v>
      </c>
      <c r="K19" s="409"/>
      <c r="L19" s="410"/>
      <c r="M19" s="410"/>
      <c r="N19" s="410"/>
      <c r="O19" s="411"/>
      <c r="P19" s="6"/>
      <c r="V19" s="1"/>
      <c r="W19" s="1"/>
      <c r="X19" s="1"/>
      <c r="Y19" s="7"/>
      <c r="Z19" s="6"/>
    </row>
    <row r="20" spans="1:26" ht="12" customHeight="1" x14ac:dyDescent="0.2">
      <c r="A20" s="526"/>
      <c r="B20" s="527"/>
      <c r="C20" s="527"/>
      <c r="D20" s="420"/>
      <c r="E20" s="421"/>
      <c r="F20" s="422"/>
      <c r="G20" s="206">
        <f>VLOOKUP(A20,A67:F122,5,FALSE)</f>
        <v>0</v>
      </c>
      <c r="H20" s="308">
        <f t="shared" ref="H20:H28" si="0">IF(E20="",0,IF(A20="",0,IF(E20="Std-ore",ROUND(C$14+C$14*G20,5),IF(E20="Tage-gg.",ROUND(D$14+D$14*G20,5),IF(E20="Monat-mese",ROUND($I$14+$I$14*G20,2))))))</f>
        <v>0</v>
      </c>
      <c r="I20" s="152">
        <f t="shared" ref="I20:I28" si="1">IF(A20="Abzug Bruttoberechnung Krankengeld INPS",ROUND(I19*G20,2),ROUND(H20*F20,2))</f>
        <v>0</v>
      </c>
      <c r="J20" s="306">
        <v>2</v>
      </c>
      <c r="K20" s="412"/>
      <c r="L20" s="413"/>
      <c r="M20" s="413"/>
      <c r="N20" s="413"/>
      <c r="O20" s="414"/>
      <c r="P20" s="6"/>
      <c r="V20" s="28"/>
      <c r="W20" s="6"/>
    </row>
    <row r="21" spans="1:26" ht="12" customHeight="1" x14ac:dyDescent="0.2">
      <c r="A21" s="526"/>
      <c r="B21" s="527"/>
      <c r="C21" s="527"/>
      <c r="D21" s="420"/>
      <c r="E21" s="421"/>
      <c r="F21" s="422"/>
      <c r="G21" s="206">
        <f>VLOOKUP(A21,A66:F121,5,FALSE)</f>
        <v>0</v>
      </c>
      <c r="H21" s="308">
        <f t="shared" si="0"/>
        <v>0</v>
      </c>
      <c r="I21" s="152">
        <f t="shared" si="1"/>
        <v>0</v>
      </c>
      <c r="J21" s="306">
        <v>3</v>
      </c>
      <c r="K21" s="412"/>
      <c r="L21" s="413"/>
      <c r="M21" s="413"/>
      <c r="N21" s="413"/>
      <c r="O21" s="414"/>
      <c r="P21" s="6"/>
      <c r="V21" s="28"/>
      <c r="W21" s="6"/>
    </row>
    <row r="22" spans="1:26" ht="12" customHeight="1" x14ac:dyDescent="0.2">
      <c r="A22" s="526"/>
      <c r="B22" s="527"/>
      <c r="C22" s="527"/>
      <c r="D22" s="420"/>
      <c r="E22" s="421"/>
      <c r="F22" s="422"/>
      <c r="G22" s="206">
        <f>VLOOKUP(A22,A67:F122,5,FALSE)</f>
        <v>0</v>
      </c>
      <c r="H22" s="308">
        <f>IF(E22="",0,IF(A22="",0,IF(E22="Std-ore",ROUND(C$14+C$14*G22,5),IF(E22="Tage-gg.",ROUND(D$14+D$14*G22,5),IF(E22="Monat-mese",ROUND($I$14+$I$14*G22,2))))))</f>
        <v>0</v>
      </c>
      <c r="I22" s="152">
        <f t="shared" si="1"/>
        <v>0</v>
      </c>
      <c r="J22" s="306">
        <v>4</v>
      </c>
      <c r="K22" s="412"/>
      <c r="L22" s="413"/>
      <c r="M22" s="413"/>
      <c r="N22" s="413"/>
      <c r="O22" s="414"/>
      <c r="P22" s="6"/>
      <c r="V22" s="28"/>
      <c r="W22" s="6"/>
    </row>
    <row r="23" spans="1:26" ht="12" customHeight="1" x14ac:dyDescent="0.2">
      <c r="A23" s="526"/>
      <c r="B23" s="527"/>
      <c r="C23" s="527"/>
      <c r="D23" s="420"/>
      <c r="E23" s="421"/>
      <c r="F23" s="422"/>
      <c r="G23" s="206">
        <f t="shared" ref="G23:G28" si="2">VLOOKUP(A23,A67:F122,5,FALSE)</f>
        <v>0</v>
      </c>
      <c r="H23" s="308">
        <f>IF(E23="",0,IF(A23="",0,IF(E23="Std-ore",ROUND(C$14+C$14*G23,5),IF(E23="Tage-gg.",ROUND(D$14+D$14*G23,5),IF(E23="Monat-mese",ROUND($I$14+$I$14*G23,2))))))</f>
        <v>0</v>
      </c>
      <c r="I23" s="152">
        <f t="shared" si="1"/>
        <v>0</v>
      </c>
      <c r="J23" s="306">
        <v>5</v>
      </c>
      <c r="K23" s="412"/>
      <c r="L23" s="413"/>
      <c r="M23" s="413"/>
      <c r="N23" s="413"/>
      <c r="O23" s="414"/>
      <c r="P23" s="6"/>
      <c r="V23" s="28"/>
      <c r="W23" s="6"/>
    </row>
    <row r="24" spans="1:26" ht="12" customHeight="1" x14ac:dyDescent="0.2">
      <c r="A24" s="526"/>
      <c r="B24" s="527"/>
      <c r="C24" s="527"/>
      <c r="D24" s="420"/>
      <c r="E24" s="421"/>
      <c r="F24" s="422"/>
      <c r="G24" s="206">
        <f t="shared" si="2"/>
        <v>0</v>
      </c>
      <c r="H24" s="308">
        <f t="shared" si="0"/>
        <v>0</v>
      </c>
      <c r="I24" s="152">
        <f t="shared" si="1"/>
        <v>0</v>
      </c>
      <c r="J24" s="306">
        <v>6</v>
      </c>
      <c r="K24" s="412"/>
      <c r="L24" s="413"/>
      <c r="M24" s="413"/>
      <c r="N24" s="413"/>
      <c r="O24" s="414"/>
      <c r="P24" s="6"/>
      <c r="V24" s="28"/>
      <c r="W24" s="6"/>
    </row>
    <row r="25" spans="1:26" ht="12" customHeight="1" x14ac:dyDescent="0.2">
      <c r="A25" s="526"/>
      <c r="B25" s="527"/>
      <c r="C25" s="527"/>
      <c r="D25" s="420"/>
      <c r="E25" s="421"/>
      <c r="F25" s="422"/>
      <c r="G25" s="206">
        <f t="shared" si="2"/>
        <v>0</v>
      </c>
      <c r="H25" s="308">
        <f t="shared" si="0"/>
        <v>0</v>
      </c>
      <c r="I25" s="152">
        <f t="shared" si="1"/>
        <v>0</v>
      </c>
      <c r="J25" s="306">
        <v>7</v>
      </c>
      <c r="K25" s="412"/>
      <c r="L25" s="413"/>
      <c r="M25" s="413"/>
      <c r="N25" s="413"/>
      <c r="O25" s="414"/>
      <c r="P25" s="6"/>
      <c r="W25" s="6"/>
    </row>
    <row r="26" spans="1:26" ht="12" customHeight="1" x14ac:dyDescent="0.2">
      <c r="A26" s="526"/>
      <c r="B26" s="527"/>
      <c r="C26" s="527"/>
      <c r="D26" s="420"/>
      <c r="E26" s="421"/>
      <c r="F26" s="422"/>
      <c r="G26" s="206">
        <f t="shared" si="2"/>
        <v>0</v>
      </c>
      <c r="H26" s="308">
        <f t="shared" si="0"/>
        <v>0</v>
      </c>
      <c r="I26" s="152">
        <f t="shared" si="1"/>
        <v>0</v>
      </c>
      <c r="J26" s="306">
        <v>8</v>
      </c>
      <c r="K26" s="412"/>
      <c r="L26" s="413"/>
      <c r="M26" s="413"/>
      <c r="N26" s="413"/>
      <c r="O26" s="414"/>
      <c r="P26" s="6"/>
      <c r="W26" s="6"/>
    </row>
    <row r="27" spans="1:26" ht="12" customHeight="1" x14ac:dyDescent="0.2">
      <c r="A27" s="526"/>
      <c r="B27" s="527"/>
      <c r="C27" s="527"/>
      <c r="D27" s="420"/>
      <c r="E27" s="421"/>
      <c r="F27" s="422"/>
      <c r="G27" s="206">
        <f t="shared" si="2"/>
        <v>0</v>
      </c>
      <c r="H27" s="308">
        <f t="shared" si="0"/>
        <v>0</v>
      </c>
      <c r="I27" s="152">
        <f t="shared" si="1"/>
        <v>0</v>
      </c>
      <c r="J27" s="306">
        <v>9</v>
      </c>
      <c r="K27" s="412"/>
      <c r="L27" s="413"/>
      <c r="M27" s="413"/>
      <c r="N27" s="413"/>
      <c r="O27" s="414"/>
      <c r="P27" s="6"/>
      <c r="W27" s="6"/>
    </row>
    <row r="28" spans="1:26" ht="12" customHeight="1" x14ac:dyDescent="0.2">
      <c r="A28" s="526"/>
      <c r="B28" s="527"/>
      <c r="C28" s="527"/>
      <c r="D28" s="420"/>
      <c r="E28" s="421"/>
      <c r="F28" s="422"/>
      <c r="G28" s="206">
        <f t="shared" si="2"/>
        <v>0</v>
      </c>
      <c r="H28" s="308">
        <f t="shared" si="0"/>
        <v>0</v>
      </c>
      <c r="I28" s="152">
        <f t="shared" si="1"/>
        <v>0</v>
      </c>
      <c r="J28" s="306">
        <v>10</v>
      </c>
      <c r="K28" s="412"/>
      <c r="L28" s="413"/>
      <c r="M28" s="413"/>
      <c r="N28" s="413"/>
      <c r="O28" s="414"/>
      <c r="P28" s="6"/>
    </row>
    <row r="29" spans="1:26" ht="12" customHeight="1" x14ac:dyDescent="0.2">
      <c r="A29" s="119" t="s">
        <v>109</v>
      </c>
      <c r="B29" s="57"/>
      <c r="C29" s="57"/>
      <c r="D29" s="57"/>
      <c r="E29" s="57"/>
      <c r="F29" s="58"/>
      <c r="G29" s="57"/>
      <c r="H29" s="57"/>
      <c r="I29" s="154">
        <f>SUM(I19:I28)</f>
        <v>0</v>
      </c>
      <c r="J29" s="306">
        <v>11</v>
      </c>
      <c r="K29" s="412"/>
      <c r="L29" s="413"/>
      <c r="M29" s="413"/>
      <c r="N29" s="415"/>
      <c r="O29" s="416"/>
      <c r="P29" s="6"/>
    </row>
    <row r="30" spans="1:26" ht="12" customHeight="1" x14ac:dyDescent="0.2">
      <c r="A30" s="211" t="s">
        <v>236</v>
      </c>
      <c r="B30" s="55"/>
      <c r="C30" s="59"/>
      <c r="D30" s="59"/>
      <c r="E30" s="59"/>
      <c r="F30" s="102" t="s">
        <v>55</v>
      </c>
      <c r="G30" s="73">
        <f>ROUND(I29,0)</f>
        <v>0</v>
      </c>
      <c r="H30" s="164">
        <v>9.1899999999999996E-2</v>
      </c>
      <c r="I30" s="151">
        <f>-ROUND(G30*H30,2)</f>
        <v>0</v>
      </c>
      <c r="J30" s="306">
        <v>12</v>
      </c>
      <c r="K30" s="412"/>
      <c r="L30" s="413"/>
      <c r="M30" s="413"/>
      <c r="N30" s="413"/>
      <c r="O30" s="414"/>
      <c r="P30" s="9"/>
    </row>
    <row r="31" spans="1:26" ht="12" customHeight="1" x14ac:dyDescent="0.2">
      <c r="A31" s="104" t="s">
        <v>237</v>
      </c>
      <c r="B31" s="61"/>
      <c r="C31" s="62"/>
      <c r="D31" s="62"/>
      <c r="E31" s="62"/>
      <c r="F31" s="103" t="s">
        <v>55</v>
      </c>
      <c r="G31" s="60">
        <f>ROUND(I29,2)</f>
        <v>0</v>
      </c>
      <c r="H31" s="165">
        <f>VLOOKUP($P$3,'[1]Mit-1'!$A$5:$U$19,19,FALSE)</f>
        <v>1.23E-2</v>
      </c>
      <c r="I31" s="152">
        <f>-ROUND(G31*H31,2)</f>
        <v>0</v>
      </c>
      <c r="J31" s="306">
        <v>13</v>
      </c>
      <c r="K31" s="412"/>
      <c r="L31" s="413"/>
      <c r="M31" s="413"/>
      <c r="N31" s="413"/>
      <c r="O31" s="414"/>
      <c r="P31" s="1"/>
      <c r="Z31" s="1"/>
    </row>
    <row r="32" spans="1:26" ht="12" customHeight="1" x14ac:dyDescent="0.2">
      <c r="A32" s="104" t="s">
        <v>234</v>
      </c>
      <c r="B32" s="61"/>
      <c r="C32" s="62"/>
      <c r="D32" s="62"/>
      <c r="E32" s="62"/>
      <c r="F32" s="103" t="s">
        <v>55</v>
      </c>
      <c r="G32" s="327">
        <f>IF(I29=0,0,IF(R9&gt;0,SUM(A12:B12)/T9*R9,SUM(A12:B12)))</f>
        <v>0</v>
      </c>
      <c r="H32" s="165">
        <f>'[1]Mit-1'!$I$21</f>
        <v>1E-3</v>
      </c>
      <c r="I32" s="152">
        <f>-ROUND(G32*H32,2)</f>
        <v>0</v>
      </c>
      <c r="J32" s="306">
        <v>14</v>
      </c>
      <c r="K32" s="412"/>
      <c r="L32" s="413"/>
      <c r="M32" s="413"/>
      <c r="N32" s="413"/>
      <c r="O32" s="414"/>
      <c r="P32" s="1"/>
      <c r="Z32" s="1"/>
    </row>
    <row r="33" spans="1:26" ht="12" customHeight="1" x14ac:dyDescent="0.2">
      <c r="A33" s="104" t="s">
        <v>235</v>
      </c>
      <c r="B33" s="61"/>
      <c r="C33" s="62"/>
      <c r="D33" s="62"/>
      <c r="E33" s="62"/>
      <c r="F33" s="103" t="s">
        <v>55</v>
      </c>
      <c r="G33" s="60">
        <f>G30</f>
        <v>0</v>
      </c>
      <c r="H33" s="165">
        <f>'[1]Mit-1'!$I$23</f>
        <v>4.0000000000000001E-3</v>
      </c>
      <c r="I33" s="152">
        <f>-ROUND(G33*H33,2)</f>
        <v>0</v>
      </c>
      <c r="J33" s="306">
        <v>15</v>
      </c>
      <c r="K33" s="412"/>
      <c r="L33" s="413"/>
      <c r="M33" s="413"/>
      <c r="N33" s="413"/>
      <c r="O33" s="414"/>
      <c r="P33" s="1"/>
      <c r="Z33" s="1"/>
    </row>
    <row r="34" spans="1:26" ht="12" customHeight="1" x14ac:dyDescent="0.2">
      <c r="A34" s="104" t="s">
        <v>258</v>
      </c>
      <c r="B34" s="61"/>
      <c r="C34" s="62"/>
      <c r="D34" s="62"/>
      <c r="E34" s="62"/>
      <c r="F34" s="394"/>
      <c r="G34" s="52"/>
      <c r="H34" s="395"/>
      <c r="I34" s="152">
        <f>-IF(I29=0,0,'[1]Mit-1'!$I$25)</f>
        <v>0</v>
      </c>
      <c r="J34" s="306">
        <v>16</v>
      </c>
      <c r="K34" s="412"/>
      <c r="L34" s="413"/>
      <c r="M34" s="413"/>
      <c r="N34" s="413"/>
      <c r="O34" s="414"/>
      <c r="P34" s="1"/>
      <c r="Z34" s="1"/>
    </row>
    <row r="35" spans="1:26" ht="12" customHeight="1" x14ac:dyDescent="0.2">
      <c r="A35" s="104" t="s">
        <v>110</v>
      </c>
      <c r="B35" s="10"/>
      <c r="C35" s="10"/>
      <c r="D35" s="10"/>
      <c r="E35" s="10"/>
      <c r="F35" s="10"/>
      <c r="G35" s="11"/>
      <c r="H35" s="63"/>
      <c r="I35" s="152">
        <f ca="1">-SUMIF($A$19:$C$28,"Krankheit INPS-Anteil*",$I$19:$I$28)</f>
        <v>0</v>
      </c>
      <c r="J35" s="306">
        <v>17</v>
      </c>
      <c r="K35" s="412"/>
      <c r="L35" s="413"/>
      <c r="M35" s="413"/>
      <c r="N35" s="413"/>
      <c r="O35" s="414"/>
      <c r="P35" s="1"/>
      <c r="Z35" s="1"/>
    </row>
    <row r="36" spans="1:26" ht="12" customHeight="1" x14ac:dyDescent="0.2">
      <c r="A36" s="104" t="s">
        <v>111</v>
      </c>
      <c r="B36" s="10"/>
      <c r="C36" s="10"/>
      <c r="D36" s="10"/>
      <c r="E36" s="10"/>
      <c r="F36" s="10"/>
      <c r="G36" s="11"/>
      <c r="H36" s="63"/>
      <c r="I36" s="152">
        <f ca="1">-SUMIF($A$19:$C$28,"Mutterschaft INPS-Anteil*",$I$19:$I$28)</f>
        <v>0</v>
      </c>
      <c r="J36" s="306">
        <v>18</v>
      </c>
      <c r="K36" s="412"/>
      <c r="L36" s="413"/>
      <c r="M36" s="413"/>
      <c r="N36" s="413"/>
      <c r="O36" s="414"/>
      <c r="P36" s="6"/>
      <c r="Y36" s="6"/>
      <c r="Z36" s="6"/>
    </row>
    <row r="37" spans="1:26" ht="12" customHeight="1" x14ac:dyDescent="0.2">
      <c r="A37" s="105" t="s">
        <v>112</v>
      </c>
      <c r="B37" s="10"/>
      <c r="C37" s="10"/>
      <c r="D37" s="10"/>
      <c r="E37" s="10"/>
      <c r="F37" s="10"/>
      <c r="G37" s="11"/>
      <c r="H37" s="52">
        <f>ROUND(IF(I29=0,0,VLOOKUP($P$3,'[1]Mit-1'!$A$5:$AD$19,12,FALSE)),2)</f>
        <v>0</v>
      </c>
      <c r="I37" s="155"/>
      <c r="J37" s="306">
        <v>19</v>
      </c>
      <c r="K37" s="412"/>
      <c r="L37" s="413"/>
      <c r="M37" s="413"/>
      <c r="N37" s="413"/>
      <c r="O37" s="414"/>
      <c r="P37" s="6"/>
      <c r="Y37" s="6"/>
      <c r="Z37" s="6"/>
    </row>
    <row r="38" spans="1:26" ht="12" customHeight="1" x14ac:dyDescent="0.2">
      <c r="A38" s="136" t="s">
        <v>113</v>
      </c>
      <c r="B38" s="10"/>
      <c r="C38" s="10"/>
      <c r="D38" s="10"/>
      <c r="E38" s="10"/>
      <c r="F38" s="10"/>
      <c r="G38" s="11"/>
      <c r="H38" s="236">
        <f ca="1">IF(SUM(I29:I37)-H37&lt;0,0,SUM(I29:I36)-H37)</f>
        <v>0</v>
      </c>
      <c r="I38" s="156"/>
      <c r="J38" s="306">
        <v>20</v>
      </c>
      <c r="K38" s="412"/>
      <c r="L38" s="413"/>
      <c r="M38" s="413"/>
      <c r="N38" s="413"/>
      <c r="O38" s="414"/>
      <c r="P38" s="6"/>
      <c r="Y38" s="6"/>
      <c r="Z38" s="6"/>
    </row>
    <row r="39" spans="1:26" ht="12" customHeight="1" x14ac:dyDescent="0.2">
      <c r="A39" s="211" t="s">
        <v>143</v>
      </c>
      <c r="B39" s="14"/>
      <c r="C39" s="14"/>
      <c r="D39" s="14"/>
      <c r="E39" s="14"/>
      <c r="F39" s="14"/>
      <c r="G39" s="14"/>
      <c r="H39" s="238">
        <f ca="1">-U50</f>
        <v>0</v>
      </c>
      <c r="I39" s="159"/>
      <c r="J39" s="306">
        <v>21</v>
      </c>
      <c r="K39" s="412"/>
      <c r="L39" s="413"/>
      <c r="M39" s="413"/>
      <c r="N39" s="413"/>
      <c r="O39" s="414"/>
      <c r="P39" s="6"/>
      <c r="R39" s="216"/>
      <c r="V39" s="6"/>
      <c r="W39" s="6"/>
      <c r="X39" s="6"/>
      <c r="Y39" s="6"/>
      <c r="Z39" s="6"/>
    </row>
    <row r="40" spans="1:26" ht="12" customHeight="1" x14ac:dyDescent="0.2">
      <c r="A40" s="104" t="s">
        <v>144</v>
      </c>
      <c r="B40" s="10"/>
      <c r="C40" s="10"/>
      <c r="D40" s="10"/>
      <c r="E40" s="10"/>
      <c r="F40" s="10"/>
      <c r="G40" s="10"/>
      <c r="H40" s="242">
        <f>ROUND(IF(I29=0,0,VLOOKUP($P$3,'[1]Mit-1'!$A$5:$AB$19,13,FALSE)/[1]Firma!$B$24*IF(R9=0,T9,R9)),2)</f>
        <v>0</v>
      </c>
      <c r="I40" s="156"/>
      <c r="J40" s="306">
        <v>22</v>
      </c>
      <c r="K40" s="412"/>
      <c r="L40" s="413"/>
      <c r="M40" s="413"/>
      <c r="N40" s="413"/>
      <c r="O40" s="414"/>
      <c r="P40" s="6"/>
      <c r="Q40" s="220"/>
      <c r="R40" s="216"/>
      <c r="S40" s="217"/>
      <c r="T40" s="218"/>
      <c r="U40" s="219"/>
      <c r="V40" s="6"/>
      <c r="W40" s="6"/>
      <c r="X40" s="6"/>
      <c r="Y40" s="6"/>
      <c r="Z40" s="6"/>
    </row>
    <row r="41" spans="1:26" ht="12" customHeight="1" x14ac:dyDescent="0.2">
      <c r="A41" s="110" t="s">
        <v>145</v>
      </c>
      <c r="B41" s="221"/>
      <c r="C41" s="221"/>
      <c r="D41" s="221"/>
      <c r="E41" s="221"/>
      <c r="F41" s="221"/>
      <c r="G41" s="221"/>
      <c r="H41" s="242">
        <f>ROUND(IF(I29=0,0,VLOOKUP($P$3,'[1]Mit-2'!$A$46:$P$60,3,FALSE)/12),2)</f>
        <v>0</v>
      </c>
      <c r="I41" s="286"/>
      <c r="J41" s="306">
        <v>23</v>
      </c>
      <c r="K41" s="412"/>
      <c r="L41" s="413"/>
      <c r="M41" s="413"/>
      <c r="N41" s="413"/>
      <c r="O41" s="414"/>
      <c r="P41" s="6"/>
      <c r="Q41" s="492" t="s">
        <v>4</v>
      </c>
      <c r="R41" s="493"/>
      <c r="S41" s="494" t="s">
        <v>7</v>
      </c>
      <c r="T41" s="498" t="s">
        <v>5</v>
      </c>
      <c r="U41" s="490" t="s">
        <v>2</v>
      </c>
      <c r="V41" s="6"/>
      <c r="W41" s="6"/>
      <c r="X41" s="6"/>
      <c r="Y41" s="6"/>
      <c r="Z41" s="6"/>
    </row>
    <row r="42" spans="1:26" ht="12" customHeight="1" x14ac:dyDescent="0.2">
      <c r="A42" s="108" t="s">
        <v>146</v>
      </c>
      <c r="B42" s="64"/>
      <c r="C42" s="64"/>
      <c r="D42" s="64"/>
      <c r="E42" s="64"/>
      <c r="F42" s="64"/>
      <c r="G42" s="64"/>
      <c r="H42" s="65"/>
      <c r="I42" s="157">
        <f ca="1">IF(SUM(H39:H41)&gt;=0,0,SUM(H39:H41))</f>
        <v>0</v>
      </c>
      <c r="J42" s="306">
        <v>24</v>
      </c>
      <c r="K42" s="412"/>
      <c r="L42" s="413"/>
      <c r="M42" s="413"/>
      <c r="N42" s="413"/>
      <c r="O42" s="414"/>
      <c r="P42" s="6"/>
      <c r="Q42" s="529"/>
      <c r="R42" s="530"/>
      <c r="S42" s="532"/>
      <c r="T42" s="531"/>
      <c r="U42" s="528"/>
      <c r="V42" s="6"/>
      <c r="W42" s="6"/>
      <c r="X42" s="6"/>
      <c r="Y42" s="6"/>
      <c r="Z42" s="6"/>
    </row>
    <row r="43" spans="1:26" ht="12" customHeight="1" x14ac:dyDescent="0.2">
      <c r="A43" s="106" t="s">
        <v>141</v>
      </c>
      <c r="B43" s="212"/>
      <c r="C43" s="10"/>
      <c r="D43" s="213"/>
      <c r="E43" s="574"/>
      <c r="F43" s="575"/>
      <c r="G43" s="214"/>
      <c r="H43" s="215" t="s">
        <v>33</v>
      </c>
      <c r="I43" s="161"/>
      <c r="J43" s="306">
        <v>25</v>
      </c>
      <c r="K43" s="412"/>
      <c r="L43" s="413"/>
      <c r="M43" s="413"/>
      <c r="N43" s="413"/>
      <c r="O43" s="414"/>
      <c r="P43" s="6"/>
      <c r="Q43" s="81" t="s">
        <v>0</v>
      </c>
      <c r="R43" s="82" t="s">
        <v>1</v>
      </c>
      <c r="S43" s="495"/>
      <c r="T43" s="499"/>
      <c r="U43" s="491"/>
      <c r="V43" s="6"/>
      <c r="W43" s="6"/>
      <c r="X43" s="6"/>
      <c r="Y43" s="6"/>
      <c r="Z43" s="6"/>
    </row>
    <row r="44" spans="1:26" ht="12" customHeight="1" x14ac:dyDescent="0.2">
      <c r="A44" s="104" t="s">
        <v>114</v>
      </c>
      <c r="B44" s="15"/>
      <c r="C44" s="8"/>
      <c r="D44" s="16"/>
      <c r="E44" s="582"/>
      <c r="F44" s="583"/>
      <c r="G44" s="17"/>
      <c r="H44" s="407"/>
      <c r="I44" s="158">
        <f>-H44</f>
        <v>0</v>
      </c>
      <c r="J44" s="306">
        <v>26</v>
      </c>
      <c r="K44" s="412"/>
      <c r="L44" s="413"/>
      <c r="M44" s="413"/>
      <c r="N44" s="413"/>
      <c r="O44" s="414"/>
      <c r="P44" s="6"/>
      <c r="Q44" s="78">
        <f>[1]Tab!E8</f>
        <v>0</v>
      </c>
      <c r="R44" s="74">
        <f>[1]Tab!F8</f>
        <v>1250</v>
      </c>
      <c r="S44" s="75">
        <f>[1]Tab!G8</f>
        <v>0.23</v>
      </c>
      <c r="T44" s="76">
        <f>ROUND(R44*S44,2)</f>
        <v>287.5</v>
      </c>
      <c r="U44" s="76">
        <f ca="1">ROUND(IF(AND($H$38&lt;=R44,$H$38&gt;0),$H$38*S44,0),2)</f>
        <v>0</v>
      </c>
      <c r="V44" s="6"/>
      <c r="W44" s="6"/>
      <c r="X44" s="6"/>
      <c r="Y44" s="6"/>
      <c r="Z44" s="6"/>
    </row>
    <row r="45" spans="1:26" ht="12" customHeight="1" x14ac:dyDescent="0.2">
      <c r="A45" s="110" t="s">
        <v>115</v>
      </c>
      <c r="B45" s="18"/>
      <c r="C45" s="111" t="s">
        <v>222</v>
      </c>
      <c r="D45" s="19">
        <v>11</v>
      </c>
      <c r="E45" s="511"/>
      <c r="F45" s="512"/>
      <c r="G45" s="20"/>
      <c r="H45" s="24">
        <f>IF(I29=0,0,VLOOKUP($P$3,'[1]Mit-2'!$A$65:$P$79,7,FALSE))</f>
        <v>0</v>
      </c>
      <c r="I45" s="155">
        <f>IF($I$9="",ROUND(IF(I29=0,0,-H45/D45),2),-Steuern!J48)</f>
        <v>0</v>
      </c>
      <c r="J45" s="306">
        <v>27</v>
      </c>
      <c r="K45" s="412"/>
      <c r="L45" s="413"/>
      <c r="M45" s="413"/>
      <c r="N45" s="413"/>
      <c r="O45" s="414"/>
      <c r="P45" s="6"/>
      <c r="Q45" s="78">
        <f>[1]Tab!E9</f>
        <v>1250.01</v>
      </c>
      <c r="R45" s="74">
        <f>[1]Tab!F9</f>
        <v>2333.33</v>
      </c>
      <c r="S45" s="75">
        <f>[1]Tab!G9</f>
        <v>0.23</v>
      </c>
      <c r="T45" s="76">
        <f>ROUND((R45-Q45)*S45+T44,2)</f>
        <v>536.66</v>
      </c>
      <c r="U45" s="76">
        <f ca="1">ROUND(IF(AND($H$38&lt;=R45,$H$38&gt;=Q45),T44+($H$38-R44)*S45,0),2)</f>
        <v>0</v>
      </c>
      <c r="V45" s="6"/>
      <c r="W45" s="6"/>
      <c r="X45" s="6"/>
      <c r="Y45" s="6"/>
      <c r="Z45" s="6"/>
    </row>
    <row r="46" spans="1:26" s="1" customFormat="1" ht="12" customHeight="1" x14ac:dyDescent="0.2">
      <c r="A46" s="101" t="s">
        <v>142</v>
      </c>
      <c r="B46" s="13"/>
      <c r="C46" s="14"/>
      <c r="D46" s="12"/>
      <c r="E46" s="580"/>
      <c r="F46" s="581"/>
      <c r="G46" s="112"/>
      <c r="H46" s="113" t="s">
        <v>33</v>
      </c>
      <c r="I46" s="151"/>
      <c r="J46" s="306">
        <v>28</v>
      </c>
      <c r="K46" s="412"/>
      <c r="L46" s="413"/>
      <c r="M46" s="413"/>
      <c r="N46" s="413"/>
      <c r="O46" s="414"/>
      <c r="P46" s="6"/>
      <c r="Q46" s="78">
        <f>[1]Tab!E10</f>
        <v>2333.34</v>
      </c>
      <c r="R46" s="74">
        <f>[1]Tab!F10</f>
        <v>4166.67</v>
      </c>
      <c r="S46" s="75">
        <f>[1]Tab!G10</f>
        <v>0.35</v>
      </c>
      <c r="T46" s="76">
        <f>ROUND((R46-Q46)*S46+T45,2)</f>
        <v>1178.33</v>
      </c>
      <c r="U46" s="76">
        <f ca="1">ROUND(IF(AND($H$38&lt;=R46,$H$38&gt;=Q46),T45+($H$38-R45)*S46,0),2)</f>
        <v>0</v>
      </c>
      <c r="V46" s="6"/>
      <c r="W46" s="6"/>
      <c r="X46" s="6"/>
      <c r="Y46" s="6"/>
      <c r="Z46" s="6"/>
    </row>
    <row r="47" spans="1:26" ht="12" customHeight="1" x14ac:dyDescent="0.2">
      <c r="A47" s="104" t="s">
        <v>114</v>
      </c>
      <c r="B47" s="15"/>
      <c r="C47" s="8"/>
      <c r="D47" s="16"/>
      <c r="E47" s="511"/>
      <c r="F47" s="512"/>
      <c r="G47" s="17"/>
      <c r="H47" s="407"/>
      <c r="I47" s="152">
        <f>-H47</f>
        <v>0</v>
      </c>
      <c r="J47" s="306">
        <v>29</v>
      </c>
      <c r="K47" s="412"/>
      <c r="L47" s="413"/>
      <c r="M47" s="413"/>
      <c r="N47" s="413"/>
      <c r="O47" s="414"/>
      <c r="P47" s="6"/>
      <c r="Q47" s="78">
        <f>[1]Tab!E11</f>
        <v>4166.68</v>
      </c>
      <c r="R47" s="74">
        <f>[1]Tab!F11</f>
        <v>0</v>
      </c>
      <c r="S47" s="75">
        <f>[1]Tab!G11</f>
        <v>0.43</v>
      </c>
      <c r="T47" s="76"/>
      <c r="U47" s="76">
        <f ca="1">ROUND(IF(AND($H$38&lt;=R47,$H$38&gt;=Q47),T46+($H$38-R46)*S47,0),2)</f>
        <v>0</v>
      </c>
      <c r="V47" s="6"/>
      <c r="W47" s="6"/>
      <c r="X47" s="6"/>
      <c r="Y47" s="6"/>
      <c r="Z47" s="6"/>
    </row>
    <row r="48" spans="1:26" ht="12" customHeight="1" x14ac:dyDescent="0.2">
      <c r="A48" s="224" t="s">
        <v>115</v>
      </c>
      <c r="B48" s="225"/>
      <c r="C48" s="226" t="s">
        <v>51</v>
      </c>
      <c r="D48" s="227">
        <v>11</v>
      </c>
      <c r="E48" s="578"/>
      <c r="F48" s="579"/>
      <c r="G48" s="228"/>
      <c r="H48" s="339">
        <f>IF(I29=0,0,VLOOKUP($P$3,'[1]Mit-2'!$A$65:$AD$79,21,FALSE))</f>
        <v>0</v>
      </c>
      <c r="I48" s="155">
        <f>IF($I$9="",ROUND(IF(I29=0,0,-H48/D48),2),-Steuern!N48)</f>
        <v>0</v>
      </c>
      <c r="J48" s="306">
        <v>30</v>
      </c>
      <c r="K48" s="412"/>
      <c r="L48" s="413"/>
      <c r="M48" s="413"/>
      <c r="N48" s="413"/>
      <c r="O48" s="414"/>
      <c r="P48" s="1"/>
      <c r="Q48" s="78">
        <f>[1]Tab!E12</f>
        <v>0</v>
      </c>
      <c r="R48" s="74"/>
      <c r="S48" s="75">
        <f>[1]Tab!G12</f>
        <v>0</v>
      </c>
      <c r="T48" s="77"/>
      <c r="U48" s="76">
        <f ca="1">ROUND(IF($H$38&gt;R47,T47+($H$38-R47)*S48,0),2)</f>
        <v>0</v>
      </c>
      <c r="V48" s="1"/>
      <c r="W48" s="1"/>
      <c r="X48" s="1"/>
      <c r="Y48" s="1"/>
      <c r="Z48" s="1"/>
    </row>
    <row r="49" spans="1:26" ht="12" customHeight="1" x14ac:dyDescent="0.2">
      <c r="A49" s="110" t="s">
        <v>147</v>
      </c>
      <c r="B49" s="231">
        <v>0.3</v>
      </c>
      <c r="C49" s="232">
        <f>H48</f>
        <v>0</v>
      </c>
      <c r="D49" s="233">
        <f>ROUND(C49*B49,2)</f>
        <v>0</v>
      </c>
      <c r="E49" s="514"/>
      <c r="F49" s="515"/>
      <c r="G49" s="234" t="s">
        <v>245</v>
      </c>
      <c r="H49" s="235">
        <v>9</v>
      </c>
      <c r="I49" s="393">
        <f>IF($I$9="",ROUND(IF($I$29=0,0,-D49/H49),2),-Steuern!R49)</f>
        <v>0</v>
      </c>
      <c r="J49" s="310">
        <v>31</v>
      </c>
      <c r="K49" s="412"/>
      <c r="L49" s="413"/>
      <c r="M49" s="413"/>
      <c r="N49" s="413"/>
      <c r="O49" s="414"/>
      <c r="P49" s="1"/>
      <c r="Q49" s="78">
        <f>[1]Tab!E13</f>
        <v>0</v>
      </c>
      <c r="R49" s="74"/>
      <c r="S49" s="75">
        <f>[1]Tab!G13</f>
        <v>0</v>
      </c>
      <c r="T49" s="77"/>
      <c r="U49" s="76">
        <f ca="1">ROUND(IF($H$38&gt;R48,T48+($H$38-R48)*S49,0),2)</f>
        <v>0</v>
      </c>
      <c r="V49" s="1"/>
      <c r="W49" s="1"/>
      <c r="X49" s="1"/>
      <c r="Y49" s="1"/>
      <c r="Z49" s="1"/>
    </row>
    <row r="50" spans="1:26" ht="12" customHeight="1" x14ac:dyDescent="0.2">
      <c r="A50" s="109" t="s">
        <v>139</v>
      </c>
      <c r="B50" s="21"/>
      <c r="C50" s="114" t="s">
        <v>34</v>
      </c>
      <c r="D50" s="114" t="s">
        <v>160</v>
      </c>
      <c r="E50" s="509" t="s">
        <v>161</v>
      </c>
      <c r="F50" s="510"/>
      <c r="G50" s="114" t="s">
        <v>162</v>
      </c>
      <c r="H50" s="230" t="s">
        <v>36</v>
      </c>
      <c r="I50" s="156"/>
      <c r="J50" s="311"/>
      <c r="K50" s="500">
        <f>SUM(K19:K49)</f>
        <v>0</v>
      </c>
      <c r="L50" s="496">
        <f>SUM(L19:L49)</f>
        <v>0</v>
      </c>
      <c r="M50" s="496">
        <f>SUM(M19:M49)</f>
        <v>0</v>
      </c>
      <c r="N50" s="496">
        <f>SUM(N19:N49)</f>
        <v>0</v>
      </c>
      <c r="O50" s="502">
        <f>SUM(O19:O49)</f>
        <v>0</v>
      </c>
      <c r="P50" s="1"/>
      <c r="Q50" s="208" t="s">
        <v>8</v>
      </c>
      <c r="R50" s="209"/>
      <c r="S50" s="79"/>
      <c r="T50" s="64"/>
      <c r="U50" s="80">
        <f ca="1">ROUND(SUM(U44:U47),2)</f>
        <v>0</v>
      </c>
      <c r="V50" s="1"/>
      <c r="W50" s="1"/>
      <c r="X50" s="1"/>
      <c r="Y50" s="1"/>
      <c r="Z50" s="1"/>
    </row>
    <row r="51" spans="1:26" ht="12" customHeight="1" x14ac:dyDescent="0.2">
      <c r="A51" s="104" t="s">
        <v>117</v>
      </c>
      <c r="B51" s="22"/>
      <c r="C51" s="60">
        <f>IF(I29=0,0,Steuern!J80)</f>
        <v>0</v>
      </c>
      <c r="D51" s="60">
        <f>IF(I29=0,0,Steuern!L80)</f>
        <v>0</v>
      </c>
      <c r="E51" s="511">
        <f>IF(I29=0,0,Steuern!N80)</f>
        <v>0</v>
      </c>
      <c r="F51" s="512"/>
      <c r="G51" s="60">
        <f>IF(I29=0,0,Steuern!P80)</f>
        <v>0</v>
      </c>
      <c r="H51" s="67">
        <f>IF(I29=0,0,Steuern!R80)</f>
        <v>0</v>
      </c>
      <c r="I51" s="156"/>
      <c r="J51" s="309"/>
      <c r="K51" s="501"/>
      <c r="L51" s="497"/>
      <c r="M51" s="497"/>
      <c r="N51" s="497"/>
      <c r="O51" s="503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</row>
    <row r="52" spans="1:26" ht="12" customHeight="1" x14ac:dyDescent="0.2">
      <c r="A52" s="110" t="s">
        <v>138</v>
      </c>
      <c r="B52" s="23"/>
      <c r="C52" s="68">
        <f>IF($I$9="",0,Steuern!J89)</f>
        <v>0</v>
      </c>
      <c r="D52" s="68">
        <f>U60</f>
        <v>0</v>
      </c>
      <c r="E52" s="520">
        <f>IF($I$9="",0,conguaglio!F60)</f>
        <v>0</v>
      </c>
      <c r="F52" s="521"/>
      <c r="G52" s="50">
        <f>IF($I$9="",0,conguaglio!G63)</f>
        <v>0</v>
      </c>
      <c r="H52" s="312">
        <f>IF((D52-E52-G52)&lt;0,0,D52-E52-G52)</f>
        <v>0</v>
      </c>
      <c r="I52" s="153">
        <f>IF($I$9="",0,H51-H52)</f>
        <v>0</v>
      </c>
      <c r="J52" s="504" t="s">
        <v>230</v>
      </c>
      <c r="K52" s="505"/>
      <c r="L52" s="505"/>
      <c r="M52" s="505"/>
      <c r="N52" s="505"/>
      <c r="O52" s="506"/>
      <c r="P52" s="6"/>
      <c r="Q52" s="6"/>
      <c r="R52" s="6"/>
      <c r="S52" s="6"/>
      <c r="T52" s="66"/>
      <c r="U52" s="6"/>
      <c r="V52" s="6"/>
      <c r="W52" s="6"/>
      <c r="X52" s="6"/>
      <c r="Y52" s="6"/>
      <c r="Z52" s="6"/>
    </row>
    <row r="53" spans="1:26" ht="12" customHeight="1" x14ac:dyDescent="0.2">
      <c r="A53" s="119" t="s">
        <v>119</v>
      </c>
      <c r="B53" s="26"/>
      <c r="C53" s="26"/>
      <c r="D53" s="26"/>
      <c r="E53" s="26"/>
      <c r="F53" s="26"/>
      <c r="G53" s="26"/>
      <c r="H53" s="26"/>
      <c r="I53" s="154">
        <f ca="1">SUM(I29:I52)</f>
        <v>0</v>
      </c>
      <c r="J53" s="307"/>
      <c r="O53" s="134"/>
      <c r="P53" s="6"/>
      <c r="Q53" s="492" t="s">
        <v>6</v>
      </c>
      <c r="R53" s="493"/>
      <c r="S53" s="494" t="s">
        <v>7</v>
      </c>
      <c r="T53" s="498" t="s">
        <v>5</v>
      </c>
      <c r="U53" s="490" t="s">
        <v>2</v>
      </c>
      <c r="V53" s="6"/>
      <c r="W53" s="6"/>
      <c r="X53" s="6"/>
      <c r="Y53" s="6"/>
      <c r="Z53" s="6"/>
    </row>
    <row r="54" spans="1:26" ht="12" customHeight="1" x14ac:dyDescent="0.2">
      <c r="A54" s="115" t="s">
        <v>120</v>
      </c>
      <c r="B54" s="95" t="s">
        <v>124</v>
      </c>
      <c r="C54" s="191">
        <f>IF($I$9="",0,VLOOKUP($P$3,'[1]Mit-1'!$A$5:$AD$19,22,FALSE))</f>
        <v>0</v>
      </c>
      <c r="D54" s="95" t="s">
        <v>38</v>
      </c>
      <c r="E54" s="522">
        <f>ROUND(IF($I$9="",0,Steuern!$D$89/13.5),2)</f>
        <v>0</v>
      </c>
      <c r="F54" s="523"/>
      <c r="G54" s="95" t="s">
        <v>40</v>
      </c>
      <c r="H54" s="192">
        <f>IF($I$9="",0,Steuern!$F$89)</f>
        <v>0</v>
      </c>
      <c r="I54" s="398">
        <f>C54+E54-H54</f>
        <v>0</v>
      </c>
      <c r="J54" s="568"/>
      <c r="K54" s="476"/>
      <c r="L54" s="476"/>
      <c r="M54" s="476"/>
      <c r="N54" s="476"/>
      <c r="O54" s="477"/>
      <c r="P54" s="3"/>
      <c r="Q54" s="81" t="s">
        <v>0</v>
      </c>
      <c r="R54" s="82" t="s">
        <v>1</v>
      </c>
      <c r="S54" s="495"/>
      <c r="T54" s="499"/>
      <c r="U54" s="491"/>
      <c r="V54" s="3"/>
      <c r="W54" s="3"/>
      <c r="X54" s="3"/>
      <c r="Y54" s="3"/>
      <c r="Z54" s="3"/>
    </row>
    <row r="55" spans="1:26" ht="15" customHeight="1" x14ac:dyDescent="0.2">
      <c r="A55" s="116" t="s">
        <v>121</v>
      </c>
      <c r="B55" s="117" t="s">
        <v>37</v>
      </c>
      <c r="C55" s="405"/>
      <c r="D55" s="117" t="s">
        <v>39</v>
      </c>
      <c r="E55" s="524"/>
      <c r="F55" s="525"/>
      <c r="G55" s="117" t="s">
        <v>35</v>
      </c>
      <c r="H55" s="407"/>
      <c r="I55" s="399">
        <f>-(E55-H55)</f>
        <v>0</v>
      </c>
      <c r="J55" s="402"/>
      <c r="K55" s="401"/>
      <c r="L55" s="401"/>
      <c r="M55" s="401"/>
      <c r="N55" s="572"/>
      <c r="O55" s="573"/>
      <c r="Q55" s="78">
        <f>[1]Tab!A8</f>
        <v>0</v>
      </c>
      <c r="R55" s="74">
        <f>[1]Tab!D8</f>
        <v>15000</v>
      </c>
      <c r="S55" s="75">
        <f>S44</f>
        <v>0.23</v>
      </c>
      <c r="T55" s="76">
        <f>ROUND(R55*S55,2)</f>
        <v>3450</v>
      </c>
      <c r="U55" s="76">
        <f>ROUND(IF(AND($C$52&lt;=R55,C52&gt;0),$C$52*S55,0),2)</f>
        <v>0</v>
      </c>
      <c r="V55" s="1"/>
      <c r="W55" s="1"/>
      <c r="X55" s="1"/>
    </row>
    <row r="56" spans="1:26" ht="16.899999999999999" customHeight="1" x14ac:dyDescent="0.2">
      <c r="A56" s="453" t="s">
        <v>122</v>
      </c>
      <c r="B56" s="118" t="s">
        <v>125</v>
      </c>
      <c r="C56" s="454">
        <f>ROUND(C54*'[1]Mit-2'!$G$84%,2)</f>
        <v>0</v>
      </c>
      <c r="D56" s="118" t="s">
        <v>262</v>
      </c>
      <c r="E56" s="520">
        <f>ROUND(C56*[1]Tab!$G$142,2)</f>
        <v>0</v>
      </c>
      <c r="F56" s="521"/>
      <c r="G56" s="455"/>
      <c r="H56" s="456"/>
      <c r="I56" s="153">
        <f>C56-E56</f>
        <v>0</v>
      </c>
      <c r="J56" s="402"/>
      <c r="K56" s="401"/>
      <c r="L56" s="401"/>
      <c r="M56" s="401"/>
      <c r="N56" s="572"/>
      <c r="O56" s="573"/>
      <c r="Q56" s="78">
        <f>[1]Tab!A9</f>
        <v>15000.01</v>
      </c>
      <c r="R56" s="74">
        <f>[1]Tab!D9</f>
        <v>28000</v>
      </c>
      <c r="S56" s="75">
        <f>S45</f>
        <v>0.23</v>
      </c>
      <c r="T56" s="76">
        <f>ROUND((R56-Q56)*S56+T55,2)</f>
        <v>6440</v>
      </c>
      <c r="U56" s="76">
        <f>ROUND(IF(AND($C$52&lt;=R56,$C$52&gt;=Q56),T55+($C$52-R55)*S56,0),2)</f>
        <v>0</v>
      </c>
      <c r="V56" s="1"/>
      <c r="W56" s="1"/>
      <c r="X56" s="1"/>
    </row>
    <row r="57" spans="1:26" ht="12.75" customHeight="1" x14ac:dyDescent="0.2">
      <c r="A57" s="448" t="s">
        <v>242</v>
      </c>
      <c r="B57" s="449"/>
      <c r="C57" s="449"/>
      <c r="D57" s="450"/>
      <c r="E57" s="518"/>
      <c r="F57" s="518"/>
      <c r="G57" s="450"/>
      <c r="H57" s="451"/>
      <c r="I57" s="452">
        <f ca="1">ROUND(IF(SUM(H39:H40)&gt;=0,0,VLOOKUP($P$3,'[1]Mit-1'!$A$5:$AC$19,20,FALSE)/[1]Firma!$C$24*IF(R9=0,T9,R9)),2)</f>
        <v>0</v>
      </c>
      <c r="J57" s="569"/>
      <c r="K57" s="570"/>
      <c r="L57" s="570"/>
      <c r="M57" s="570"/>
      <c r="N57" s="570"/>
      <c r="O57" s="571"/>
      <c r="Q57" s="78">
        <f>[1]Tab!A10</f>
        <v>28000.01</v>
      </c>
      <c r="R57" s="74">
        <f>[1]Tab!D10</f>
        <v>50000</v>
      </c>
      <c r="S57" s="75">
        <f>S46</f>
        <v>0.35</v>
      </c>
      <c r="T57" s="76">
        <f>ROUND((R57-Q57)*S57+T56,2)</f>
        <v>14140</v>
      </c>
      <c r="U57" s="76">
        <f>ROUND(IF(AND($C$52&lt;=R57,$C$52&gt;=Q57),T56+($C$52-R56)*S57,0),2)</f>
        <v>0</v>
      </c>
    </row>
    <row r="58" spans="1:26" ht="12.75" customHeight="1" x14ac:dyDescent="0.2">
      <c r="A58" s="465"/>
      <c r="B58" s="466"/>
      <c r="C58" s="466"/>
      <c r="D58" s="467"/>
      <c r="E58" s="519"/>
      <c r="F58" s="519"/>
      <c r="G58" s="467"/>
      <c r="H58" s="468"/>
      <c r="I58" s="469"/>
      <c r="J58" s="402"/>
      <c r="K58" s="401"/>
      <c r="L58" s="401"/>
      <c r="M58" s="401"/>
      <c r="N58" s="572"/>
      <c r="O58" s="573"/>
      <c r="P58" s="3"/>
      <c r="Q58" s="78">
        <f>[1]Tab!A11</f>
        <v>50000.01</v>
      </c>
      <c r="R58" s="74">
        <f>[1]Tab!D11</f>
        <v>0</v>
      </c>
      <c r="S58" s="75">
        <f>S47</f>
        <v>0.43</v>
      </c>
      <c r="T58" s="76"/>
      <c r="U58" s="76">
        <f>ROUND(IF(AND($C$52&lt;=R58,$C$52&gt;=Q58),T57+($C$52-R57)*S58,0),2)</f>
        <v>0</v>
      </c>
      <c r="V58" s="3"/>
      <c r="W58" s="3"/>
      <c r="X58" s="3"/>
      <c r="Y58" s="3"/>
      <c r="Z58" s="3"/>
    </row>
    <row r="59" spans="1:26" ht="12" customHeight="1" x14ac:dyDescent="0.2">
      <c r="A59" s="106" t="s">
        <v>123</v>
      </c>
      <c r="B59" s="8"/>
      <c r="C59" s="49"/>
      <c r="D59" s="117" t="s">
        <v>41</v>
      </c>
      <c r="E59" s="576">
        <f>-'04'!H59</f>
        <v>0</v>
      </c>
      <c r="F59" s="577"/>
      <c r="G59" s="117" t="s">
        <v>42</v>
      </c>
      <c r="H59" s="145">
        <f>IF(I29=0,0,SUM(I60-Q61))</f>
        <v>0</v>
      </c>
      <c r="I59" s="399">
        <f>IF(I29=0,0,SUM(E59,H59))</f>
        <v>0</v>
      </c>
      <c r="J59" s="402"/>
      <c r="K59" s="401"/>
      <c r="L59" s="401"/>
      <c r="M59" s="401"/>
      <c r="N59" s="572"/>
      <c r="O59" s="573"/>
      <c r="P59" s="3"/>
      <c r="Q59" s="78">
        <f>[1]Tab!A12</f>
        <v>0</v>
      </c>
      <c r="R59" s="74"/>
      <c r="S59" s="75">
        <f>S48</f>
        <v>0</v>
      </c>
      <c r="T59" s="77"/>
      <c r="U59" s="76">
        <f>ROUND(IF($C$52&gt;R58,T58+($C$52-R58)*S59,0),2)</f>
        <v>0</v>
      </c>
      <c r="V59" s="3"/>
      <c r="W59" s="3"/>
      <c r="X59" s="3"/>
      <c r="Y59" s="3"/>
      <c r="Z59" s="3"/>
    </row>
    <row r="60" spans="1:26" ht="12" customHeight="1" x14ac:dyDescent="0.2">
      <c r="A60" s="319" t="s">
        <v>43</v>
      </c>
      <c r="B60" s="320"/>
      <c r="C60" s="320"/>
      <c r="D60" s="320"/>
      <c r="E60" s="320"/>
      <c r="F60" s="320"/>
      <c r="G60" s="320"/>
      <c r="H60" s="320"/>
      <c r="I60" s="400">
        <f>IF(I29=0,0,ROUNDUP(Q61,0))</f>
        <v>0</v>
      </c>
      <c r="J60" s="403"/>
      <c r="K60" s="404"/>
      <c r="L60" s="404"/>
      <c r="M60" s="404"/>
      <c r="N60" s="566"/>
      <c r="O60" s="567"/>
      <c r="P60" s="3"/>
      <c r="Q60" s="208" t="s">
        <v>8</v>
      </c>
      <c r="R60" s="209"/>
      <c r="S60" s="79"/>
      <c r="T60" s="64"/>
      <c r="U60" s="80">
        <f>ROUND(SUM(U55:U59),2)</f>
        <v>0</v>
      </c>
      <c r="V60" s="3"/>
      <c r="W60" s="3"/>
      <c r="X60" s="3"/>
      <c r="Y60" s="3"/>
      <c r="Z60" s="3"/>
    </row>
    <row r="61" spans="1:26" ht="15" customHeight="1" x14ac:dyDescent="0.2">
      <c r="A61" s="1"/>
      <c r="B61" s="1"/>
      <c r="C61" s="1"/>
      <c r="D61" s="1"/>
      <c r="E61" s="1"/>
      <c r="F61" s="1"/>
      <c r="G61" s="1"/>
      <c r="H61" s="1"/>
      <c r="I61" s="1"/>
      <c r="K61" s="1"/>
      <c r="L61" s="1"/>
      <c r="M61" s="1"/>
      <c r="P61" s="6"/>
      <c r="Q61" s="142">
        <f ca="1">SUM(I53:I58,E59)</f>
        <v>0</v>
      </c>
      <c r="R61" s="6"/>
      <c r="S61" s="6"/>
      <c r="T61" s="6"/>
      <c r="U61" s="6"/>
      <c r="V61" s="6"/>
      <c r="W61" s="6"/>
      <c r="X61" s="6"/>
      <c r="Y61" s="6"/>
      <c r="Z61" s="6"/>
    </row>
    <row r="62" spans="1:26" ht="18" customHeight="1" x14ac:dyDescent="0.2">
      <c r="Q62" s="142"/>
    </row>
    <row r="63" spans="1:26" ht="15.75" customHeight="1" x14ac:dyDescent="0.2">
      <c r="Q63" s="142"/>
    </row>
    <row r="64" spans="1:26" x14ac:dyDescent="0.2">
      <c r="A64" s="71" t="str">
        <f>'[1]Beschr-Descr.'!A1</f>
        <v xml:space="preserve">Beschreibung Lohnelemente  </v>
      </c>
      <c r="Q64" s="142"/>
    </row>
    <row r="65" spans="1:6" x14ac:dyDescent="0.2">
      <c r="A65" s="71" t="str">
        <f>'[1]Beschr-Descr.'!A2</f>
        <v>Descrizione elementi di retribuzione</v>
      </c>
      <c r="F65" s="71" t="s">
        <v>3</v>
      </c>
    </row>
    <row r="66" spans="1:6" x14ac:dyDescent="0.2">
      <c r="A66" s="84">
        <f>'[1]Beschr-Descr.'!A3</f>
        <v>0</v>
      </c>
      <c r="B66" s="84">
        <f>'[1]Beschr-Descr.'!B3</f>
        <v>0</v>
      </c>
      <c r="C66" s="84">
        <f>'[1]Beschr-Descr.'!C3</f>
        <v>0</v>
      </c>
      <c r="D66" s="84">
        <f>'[1]Beschr-Descr.'!D3</f>
        <v>0</v>
      </c>
      <c r="E66" s="84">
        <f>'[1]Beschr-Descr.'!E3</f>
        <v>0</v>
      </c>
    </row>
    <row r="67" spans="1:6" x14ac:dyDescent="0.2">
      <c r="A67" s="84" t="str">
        <f>'[1]Beschr-Descr.'!A4</f>
        <v>Normalentlohnung</v>
      </c>
      <c r="B67" s="84"/>
      <c r="C67" s="84">
        <f>'[1]Beschr-Descr.'!C4</f>
        <v>0</v>
      </c>
      <c r="D67" s="84">
        <f>'[1]Beschr-Descr.'!D4</f>
        <v>0</v>
      </c>
      <c r="E67" s="207">
        <f>'[1]Beschr-Descr.'!E4</f>
        <v>0</v>
      </c>
      <c r="F67" t="s">
        <v>44</v>
      </c>
    </row>
    <row r="68" spans="1:6" x14ac:dyDescent="0.2">
      <c r="A68" s="84" t="str">
        <f>'[1]Beschr-Descr.'!A5</f>
        <v>Genossener Urlaub</v>
      </c>
      <c r="B68" s="84"/>
      <c r="C68" s="84">
        <f>'[1]Beschr-Descr.'!C5</f>
        <v>0</v>
      </c>
      <c r="D68" s="84">
        <f>'[1]Beschr-Descr.'!D5</f>
        <v>0</v>
      </c>
      <c r="E68" s="207">
        <f>'[1]Beschr-Descr.'!E5</f>
        <v>0</v>
      </c>
      <c r="F68" t="s">
        <v>45</v>
      </c>
    </row>
    <row r="69" spans="1:6" x14ac:dyDescent="0.2">
      <c r="A69" s="84" t="str">
        <f>'[1]Beschr-Descr.'!A6</f>
        <v>Genossene Freistellungen</v>
      </c>
      <c r="B69" s="84"/>
      <c r="C69" s="84">
        <f>'[1]Beschr-Descr.'!C6</f>
        <v>0</v>
      </c>
      <c r="D69" s="84">
        <f>'[1]Beschr-Descr.'!D6</f>
        <v>0</v>
      </c>
      <c r="E69" s="207">
        <f>'[1]Beschr-Descr.'!E6</f>
        <v>0</v>
      </c>
      <c r="F69" t="s">
        <v>46</v>
      </c>
    </row>
    <row r="70" spans="1:6" x14ac:dyDescent="0.2">
      <c r="A70" s="84" t="str">
        <f>'[1]Beschr-Descr.'!A7</f>
        <v>Nicht genossener Urlaub</v>
      </c>
      <c r="B70" s="84"/>
      <c r="C70" s="84">
        <f>'[1]Beschr-Descr.'!C7</f>
        <v>0</v>
      </c>
      <c r="D70" s="84">
        <f>'[1]Beschr-Descr.'!D7</f>
        <v>0</v>
      </c>
      <c r="E70" s="207">
        <f>'[1]Beschr-Descr.'!E7</f>
        <v>0</v>
      </c>
    </row>
    <row r="71" spans="1:6" x14ac:dyDescent="0.2">
      <c r="A71" s="84" t="str">
        <f>'[1]Beschr-Descr.'!A8</f>
        <v>Nicht genossene Freistellungen</v>
      </c>
      <c r="B71" s="84"/>
      <c r="C71" s="84">
        <f>'[1]Beschr-Descr.'!C8</f>
        <v>0</v>
      </c>
      <c r="D71" s="84">
        <f>'[1]Beschr-Descr.'!D8</f>
        <v>0</v>
      </c>
      <c r="E71" s="207">
        <f>'[1]Beschr-Descr.'!E8</f>
        <v>0</v>
      </c>
    </row>
    <row r="72" spans="1:6" x14ac:dyDescent="0.2">
      <c r="A72" s="84" t="str">
        <f>'[1]Beschr-Descr.'!A9</f>
        <v>Nicht genossene Feiertage</v>
      </c>
      <c r="B72" s="84"/>
      <c r="C72" s="84">
        <f>'[1]Beschr-Descr.'!C9</f>
        <v>0</v>
      </c>
      <c r="D72" s="84">
        <f>'[1]Beschr-Descr.'!D9</f>
        <v>0</v>
      </c>
      <c r="E72" s="207">
        <f>'[1]Beschr-Descr.'!E9</f>
        <v>0</v>
      </c>
    </row>
    <row r="73" spans="1:6" x14ac:dyDescent="0.2">
      <c r="A73" s="84" t="str">
        <f>'[1]Beschr-Descr.'!A10</f>
        <v>Zulage für Kassarisiko</v>
      </c>
      <c r="B73" s="84"/>
      <c r="C73" s="84">
        <f>'[1]Beschr-Descr.'!C10</f>
        <v>0</v>
      </c>
      <c r="D73" s="84">
        <f>'[1]Beschr-Descr.'!D10</f>
        <v>0</v>
      </c>
      <c r="E73" s="207">
        <f>'[1]Beschr-Descr.'!E10</f>
        <v>0</v>
      </c>
    </row>
    <row r="74" spans="1:6" x14ac:dyDescent="0.2">
      <c r="A74" s="84">
        <f>'[1]Beschr-Descr.'!A11</f>
        <v>0</v>
      </c>
      <c r="B74" s="84"/>
      <c r="C74" s="84">
        <f>'[1]Beschr-Descr.'!C11</f>
        <v>0</v>
      </c>
      <c r="D74" s="84">
        <f>'[1]Beschr-Descr.'!D11</f>
        <v>0</v>
      </c>
      <c r="E74" s="207">
        <f>'[1]Beschr-Descr.'!E11</f>
        <v>0</v>
      </c>
    </row>
    <row r="75" spans="1:6" x14ac:dyDescent="0.2">
      <c r="A75" s="84" t="str">
        <f>'[1]Beschr-Descr.'!A12</f>
        <v xml:space="preserve">Überstunden 15%  </v>
      </c>
      <c r="B75" s="84"/>
      <c r="C75" s="84">
        <f>'[1]Beschr-Descr.'!C12</f>
        <v>0</v>
      </c>
      <c r="D75" s="84">
        <f>'[1]Beschr-Descr.'!D12</f>
        <v>0</v>
      </c>
      <c r="E75" s="207">
        <f>'[1]Beschr-Descr.'!E12</f>
        <v>0.15</v>
      </c>
    </row>
    <row r="76" spans="1:6" x14ac:dyDescent="0.2">
      <c r="A76" s="84" t="str">
        <f>'[1]Beschr-Descr.'!A13</f>
        <v xml:space="preserve">Überstunden 20%  </v>
      </c>
      <c r="B76" s="84"/>
      <c r="C76" s="84">
        <f>'[1]Beschr-Descr.'!C13</f>
        <v>0</v>
      </c>
      <c r="D76" s="84">
        <f>'[1]Beschr-Descr.'!D13</f>
        <v>0</v>
      </c>
      <c r="E76" s="207">
        <f>'[1]Beschr-Descr.'!E13</f>
        <v>0.2</v>
      </c>
    </row>
    <row r="77" spans="1:6" x14ac:dyDescent="0.2">
      <c r="A77" s="84" t="str">
        <f>'[1]Beschr-Descr.'!A14</f>
        <v xml:space="preserve">Überstunden 30%  </v>
      </c>
      <c r="B77" s="84"/>
      <c r="C77" s="84">
        <f>'[1]Beschr-Descr.'!C14</f>
        <v>0</v>
      </c>
      <c r="D77" s="84">
        <f>'[1]Beschr-Descr.'!D14</f>
        <v>0</v>
      </c>
      <c r="E77" s="207">
        <f>'[1]Beschr-Descr.'!E14</f>
        <v>0.3</v>
      </c>
    </row>
    <row r="78" spans="1:6" x14ac:dyDescent="0.2">
      <c r="A78" s="84" t="str">
        <f>'[1]Beschr-Descr.'!A15</f>
        <v xml:space="preserve">Überstunden 50%  </v>
      </c>
      <c r="B78" s="84"/>
      <c r="C78" s="84">
        <f>'[1]Beschr-Descr.'!C15</f>
        <v>0</v>
      </c>
      <c r="D78" s="84">
        <f>'[1]Beschr-Descr.'!D15</f>
        <v>0</v>
      </c>
      <c r="E78" s="207">
        <f>'[1]Beschr-Descr.'!E15</f>
        <v>0.5</v>
      </c>
    </row>
    <row r="79" spans="1:6" x14ac:dyDescent="0.2">
      <c r="A79" s="84" t="str">
        <f>'[1]Beschr-Descr.'!A16</f>
        <v>Nachtstunden 50%</v>
      </c>
      <c r="B79" s="84"/>
      <c r="C79" s="84">
        <f>'[1]Beschr-Descr.'!C16</f>
        <v>0</v>
      </c>
      <c r="D79" s="84">
        <f>'[1]Beschr-Descr.'!D16</f>
        <v>0</v>
      </c>
      <c r="E79" s="207">
        <f>'[1]Beschr-Descr.'!E16</f>
        <v>0.5</v>
      </c>
    </row>
    <row r="80" spans="1:6" x14ac:dyDescent="0.2">
      <c r="A80" s="84">
        <f>'[1]Beschr-Descr.'!A17</f>
        <v>0</v>
      </c>
      <c r="B80" s="84"/>
      <c r="C80" s="84">
        <f>'[1]Beschr-Descr.'!C17</f>
        <v>0</v>
      </c>
      <c r="D80" s="84">
        <f>'[1]Beschr-Descr.'!D17</f>
        <v>0</v>
      </c>
      <c r="E80" s="207">
        <f>'[1]Beschr-Descr.'!E17</f>
        <v>0</v>
      </c>
    </row>
    <row r="81" spans="1:5" x14ac:dyDescent="0.2">
      <c r="A81" s="84" t="str">
        <f>'[1]Beschr-Descr.'!A18</f>
        <v>Krankheit gesamt</v>
      </c>
      <c r="B81" s="84"/>
      <c r="C81" s="84">
        <f>'[1]Beschr-Descr.'!C18</f>
        <v>0</v>
      </c>
      <c r="D81" s="84">
        <f>'[1]Beschr-Descr.'!D18</f>
        <v>0</v>
      </c>
      <c r="E81" s="207">
        <f>'[1]Beschr-Descr.'!E18</f>
        <v>0</v>
      </c>
    </row>
    <row r="82" spans="1:5" x14ac:dyDescent="0.2">
      <c r="A82" s="84" t="str">
        <f>'[1]Beschr-Descr.'!A19</f>
        <v xml:space="preserve">Krankheit INPS-Anteil 50,00% </v>
      </c>
      <c r="B82" s="84"/>
      <c r="C82" s="84">
        <f>'[1]Beschr-Descr.'!C19</f>
        <v>0</v>
      </c>
      <c r="D82" s="84">
        <f>'[1]Beschr-Descr.'!D19</f>
        <v>0</v>
      </c>
      <c r="E82" s="207">
        <f>'[1]Beschr-Descr.'!E19</f>
        <v>-0.5</v>
      </c>
    </row>
    <row r="83" spans="1:5" x14ac:dyDescent="0.2">
      <c r="A83" s="84" t="str">
        <f>'[1]Beschr-Descr.'!A20</f>
        <v xml:space="preserve">Krankheit INPS-Anteil 66,67% </v>
      </c>
      <c r="B83" s="84"/>
      <c r="C83" s="84">
        <f>'[1]Beschr-Descr.'!C20</f>
        <v>0</v>
      </c>
      <c r="D83" s="84">
        <f>'[1]Beschr-Descr.'!D20</f>
        <v>0</v>
      </c>
      <c r="E83" s="207">
        <f>'[1]Beschr-Descr.'!E20</f>
        <v>-0.66669999999999996</v>
      </c>
    </row>
    <row r="84" spans="1:5" x14ac:dyDescent="0.2">
      <c r="A84" s="84" t="str">
        <f>'[1]Beschr-Descr.'!A21</f>
        <v>Mutterschaft Gesamtbetrag</v>
      </c>
      <c r="B84" s="84"/>
      <c r="C84" s="84">
        <f>'[1]Beschr-Descr.'!C21</f>
        <v>0</v>
      </c>
      <c r="D84" s="84">
        <f>'[1]Beschr-Descr.'!D21</f>
        <v>0</v>
      </c>
      <c r="E84" s="207">
        <f>'[1]Beschr-Descr.'!E21</f>
        <v>0</v>
      </c>
    </row>
    <row r="85" spans="1:5" x14ac:dyDescent="0.2">
      <c r="A85" s="84" t="str">
        <f>'[1]Beschr-Descr.'!A22</f>
        <v>Mutterschaft INPS-Anteil 80,00%</v>
      </c>
      <c r="B85" s="84"/>
      <c r="C85" s="84">
        <f>'[1]Beschr-Descr.'!C22</f>
        <v>0</v>
      </c>
      <c r="D85" s="84">
        <f>'[1]Beschr-Descr.'!D22</f>
        <v>0</v>
      </c>
      <c r="E85" s="207">
        <f>'[1]Beschr-Descr.'!E22</f>
        <v>-0.8</v>
      </c>
    </row>
    <row r="86" spans="1:5" x14ac:dyDescent="0.2">
      <c r="A86" s="84" t="str">
        <f>'[1]Beschr-Descr.'!A23</f>
        <v>Abzug Bruttoberechnung Krankengeld INPS</v>
      </c>
      <c r="B86" s="84"/>
      <c r="C86" s="84">
        <f>'[1]Beschr-Descr.'!C23</f>
        <v>0</v>
      </c>
      <c r="D86" s="84">
        <f>'[1]Beschr-Descr.'!D23</f>
        <v>0</v>
      </c>
      <c r="E86" s="207">
        <f>'[1]Beschr-Descr.'!E23</f>
        <v>0.10120030833608633</v>
      </c>
    </row>
    <row r="87" spans="1:5" x14ac:dyDescent="0.2">
      <c r="A87" s="84">
        <f>'[1]Beschr-Descr.'!A24</f>
        <v>0</v>
      </c>
      <c r="B87" s="84"/>
      <c r="C87" s="84">
        <f>'[1]Beschr-Descr.'!C24</f>
        <v>0</v>
      </c>
      <c r="D87" s="84">
        <f>'[1]Beschr-Descr.'!D24</f>
        <v>0</v>
      </c>
      <c r="E87" s="207">
        <f>'[1]Beschr-Descr.'!E24</f>
        <v>0</v>
      </c>
    </row>
    <row r="88" spans="1:5" x14ac:dyDescent="0.2">
      <c r="A88" s="84" t="str">
        <f>'[1]Beschr-Descr.'!A25</f>
        <v xml:space="preserve">13. Monatsgehalt  </v>
      </c>
      <c r="B88" s="84"/>
      <c r="C88" s="84">
        <f>'[1]Beschr-Descr.'!C25</f>
        <v>0</v>
      </c>
      <c r="D88" s="84">
        <f>'[1]Beschr-Descr.'!D25</f>
        <v>0</v>
      </c>
      <c r="E88" s="207">
        <f>'[1]Beschr-Descr.'!E25</f>
        <v>0</v>
      </c>
    </row>
    <row r="89" spans="1:5" x14ac:dyDescent="0.2">
      <c r="A89" s="84" t="str">
        <f>'[1]Beschr-Descr.'!A26</f>
        <v xml:space="preserve">14. Monatsgehalt  </v>
      </c>
      <c r="B89" s="84"/>
      <c r="C89" s="84">
        <f>'[1]Beschr-Descr.'!C26</f>
        <v>0</v>
      </c>
      <c r="D89" s="84">
        <f>'[1]Beschr-Descr.'!D26</f>
        <v>0</v>
      </c>
      <c r="E89" s="207">
        <f>'[1]Beschr-Descr.'!E26</f>
        <v>0</v>
      </c>
    </row>
    <row r="90" spans="1:5" x14ac:dyDescent="0.2">
      <c r="A90" s="84" t="str">
        <f>'[1]Beschr-Descr.'!A27</f>
        <v xml:space="preserve">Nichteinhaltung Kündigungsfrist  </v>
      </c>
      <c r="B90" s="84"/>
      <c r="C90" s="84">
        <f>'[1]Beschr-Descr.'!C27</f>
        <v>0</v>
      </c>
      <c r="D90" s="84">
        <f>'[1]Beschr-Descr.'!D27</f>
        <v>0</v>
      </c>
      <c r="E90" s="207">
        <f>'[1]Beschr-Descr.'!E27</f>
        <v>0</v>
      </c>
    </row>
    <row r="91" spans="1:5" x14ac:dyDescent="0.2">
      <c r="A91" s="84" t="str">
        <f>'[1]Beschr-Descr.'!A28</f>
        <v>Una Tantum</v>
      </c>
      <c r="B91" s="84"/>
      <c r="C91" s="84">
        <f>'[1]Beschr-Descr.'!C28</f>
        <v>0</v>
      </c>
      <c r="D91" s="84">
        <f>'[1]Beschr-Descr.'!D28</f>
        <v>0</v>
      </c>
      <c r="E91" s="207">
        <f>'[1]Beschr-Descr.'!E28</f>
        <v>0</v>
      </c>
    </row>
    <row r="92" spans="1:5" x14ac:dyDescent="0.2">
      <c r="A92" s="84" t="str">
        <f>'[1]Beschr-Descr.'!A29</f>
        <v>Prämie</v>
      </c>
      <c r="B92" s="84"/>
      <c r="C92" s="84">
        <f>'[1]Beschr-Descr.'!C29</f>
        <v>0</v>
      </c>
      <c r="D92" s="84">
        <f>'[1]Beschr-Descr.'!D29</f>
        <v>0</v>
      </c>
      <c r="E92" s="207">
        <f>'[1]Beschr-Descr.'!E29</f>
        <v>0</v>
      </c>
    </row>
    <row r="93" spans="1:5" x14ac:dyDescent="0.2">
      <c r="A93" s="84">
        <f>'[1]Beschr-Descr.'!A30</f>
        <v>0</v>
      </c>
      <c r="B93" s="84"/>
      <c r="C93" s="84">
        <f>'[1]Beschr-Descr.'!C30</f>
        <v>0</v>
      </c>
      <c r="D93" s="84">
        <f>'[1]Beschr-Descr.'!D30</f>
        <v>0</v>
      </c>
      <c r="E93" s="207">
        <f>'[1]Beschr-Descr.'!E30</f>
        <v>0</v>
      </c>
    </row>
    <row r="94" spans="1:5" x14ac:dyDescent="0.2">
      <c r="A94" s="84">
        <f>'[1]Beschr-Descr.'!A31</f>
        <v>0</v>
      </c>
      <c r="B94" s="84"/>
      <c r="C94" s="84">
        <f>'[1]Beschr-Descr.'!C31</f>
        <v>0</v>
      </c>
      <c r="D94" s="84">
        <f>'[1]Beschr-Descr.'!D31</f>
        <v>0</v>
      </c>
      <c r="E94" s="207">
        <f>'[1]Beschr-Descr.'!E31</f>
        <v>0</v>
      </c>
    </row>
    <row r="95" spans="1:5" x14ac:dyDescent="0.2">
      <c r="A95" s="84" t="str">
        <f>'[1]Beschr-Descr.'!A32</f>
        <v xml:space="preserve">Retribuzione ordinaria </v>
      </c>
      <c r="B95" s="84"/>
      <c r="C95" s="84">
        <f>'[1]Beschr-Descr.'!C32</f>
        <v>0</v>
      </c>
      <c r="D95" s="84">
        <f>'[1]Beschr-Descr.'!D32</f>
        <v>0</v>
      </c>
      <c r="E95" s="207">
        <f>'[1]Beschr-Descr.'!E32</f>
        <v>0</v>
      </c>
    </row>
    <row r="96" spans="1:5" x14ac:dyDescent="0.2">
      <c r="A96" s="84" t="str">
        <f>'[1]Beschr-Descr.'!A33</f>
        <v>Ferie godute</v>
      </c>
      <c r="B96" s="84"/>
      <c r="C96" s="84">
        <f>'[1]Beschr-Descr.'!C33</f>
        <v>0</v>
      </c>
      <c r="D96" s="84">
        <f>'[1]Beschr-Descr.'!D33</f>
        <v>0</v>
      </c>
      <c r="E96" s="207">
        <f>'[1]Beschr-Descr.'!E33</f>
        <v>0</v>
      </c>
    </row>
    <row r="97" spans="1:5" x14ac:dyDescent="0.2">
      <c r="A97" s="84" t="str">
        <f>'[1]Beschr-Descr.'!A34</f>
        <v>Permessi goduti</v>
      </c>
      <c r="B97" s="84"/>
      <c r="C97" s="84">
        <f>'[1]Beschr-Descr.'!C34</f>
        <v>0</v>
      </c>
      <c r="D97" s="84">
        <f>'[1]Beschr-Descr.'!D34</f>
        <v>0</v>
      </c>
      <c r="E97" s="207">
        <f>'[1]Beschr-Descr.'!E34</f>
        <v>0</v>
      </c>
    </row>
    <row r="98" spans="1:5" x14ac:dyDescent="0.2">
      <c r="A98" s="84" t="str">
        <f>'[1]Beschr-Descr.'!A35</f>
        <v>Ferie non godute</v>
      </c>
      <c r="B98" s="84"/>
      <c r="C98" s="84">
        <f>'[1]Beschr-Descr.'!C35</f>
        <v>0</v>
      </c>
      <c r="D98" s="84">
        <f>'[1]Beschr-Descr.'!D35</f>
        <v>0</v>
      </c>
      <c r="E98" s="207">
        <f>'[1]Beschr-Descr.'!E35</f>
        <v>0</v>
      </c>
    </row>
    <row r="99" spans="1:5" x14ac:dyDescent="0.2">
      <c r="A99" s="84" t="str">
        <f>'[1]Beschr-Descr.'!A36</f>
        <v>Ferie non godute</v>
      </c>
      <c r="B99" s="84"/>
      <c r="C99" s="84">
        <f>'[1]Beschr-Descr.'!C36</f>
        <v>0</v>
      </c>
      <c r="D99" s="84">
        <f>'[1]Beschr-Descr.'!D36</f>
        <v>0</v>
      </c>
      <c r="E99" s="207">
        <f>'[1]Beschr-Descr.'!E36</f>
        <v>0</v>
      </c>
    </row>
    <row r="100" spans="1:5" x14ac:dyDescent="0.2">
      <c r="A100" s="84" t="str">
        <f>'[1]Beschr-Descr.'!A37</f>
        <v>Festività non godute</v>
      </c>
      <c r="B100" s="84"/>
      <c r="C100" s="84">
        <f>'[1]Beschr-Descr.'!C37</f>
        <v>0</v>
      </c>
      <c r="D100" s="84">
        <f>'[1]Beschr-Descr.'!D37</f>
        <v>0</v>
      </c>
      <c r="E100" s="207">
        <f>'[1]Beschr-Descr.'!E37</f>
        <v>0</v>
      </c>
    </row>
    <row r="101" spans="1:5" x14ac:dyDescent="0.2">
      <c r="A101" s="84" t="str">
        <f>'[1]Beschr-Descr.'!A38</f>
        <v>Indennità rischio cassa</v>
      </c>
      <c r="B101" s="84"/>
      <c r="C101" s="84">
        <f>'[1]Beschr-Descr.'!C38</f>
        <v>0</v>
      </c>
      <c r="D101" s="84">
        <f>'[1]Beschr-Descr.'!D38</f>
        <v>0</v>
      </c>
      <c r="E101" s="207">
        <f>'[1]Beschr-Descr.'!E38</f>
        <v>0</v>
      </c>
    </row>
    <row r="102" spans="1:5" x14ac:dyDescent="0.2">
      <c r="A102" s="84">
        <f>'[1]Beschr-Descr.'!A39</f>
        <v>0</v>
      </c>
      <c r="B102" s="84"/>
      <c r="C102" s="84">
        <f>'[1]Beschr-Descr.'!C39</f>
        <v>0</v>
      </c>
      <c r="D102" s="84">
        <f>'[1]Beschr-Descr.'!D39</f>
        <v>0</v>
      </c>
      <c r="E102" s="207">
        <f>'[1]Beschr-Descr.'!E39</f>
        <v>0</v>
      </c>
    </row>
    <row r="103" spans="1:5" x14ac:dyDescent="0.2">
      <c r="A103" s="84" t="str">
        <f>'[1]Beschr-Descr.'!A40</f>
        <v>Ore straordinarie 15%</v>
      </c>
      <c r="B103" s="84"/>
      <c r="C103" s="84">
        <f>'[1]Beschr-Descr.'!C40</f>
        <v>0</v>
      </c>
      <c r="D103" s="84">
        <f>'[1]Beschr-Descr.'!D40</f>
        <v>0</v>
      </c>
      <c r="E103" s="207">
        <f>'[1]Beschr-Descr.'!E40</f>
        <v>0.15</v>
      </c>
    </row>
    <row r="104" spans="1:5" x14ac:dyDescent="0.2">
      <c r="A104" s="84" t="str">
        <f>'[1]Beschr-Descr.'!A41</f>
        <v>Ore straordinarie 20%</v>
      </c>
      <c r="B104" s="84"/>
      <c r="C104" s="84">
        <f>'[1]Beschr-Descr.'!C41</f>
        <v>0</v>
      </c>
      <c r="D104" s="84">
        <f>'[1]Beschr-Descr.'!D41</f>
        <v>0</v>
      </c>
      <c r="E104" s="207">
        <f>'[1]Beschr-Descr.'!E41</f>
        <v>0.2</v>
      </c>
    </row>
    <row r="105" spans="1:5" x14ac:dyDescent="0.2">
      <c r="A105" s="84" t="str">
        <f>'[1]Beschr-Descr.'!A42</f>
        <v>Ore straordinarie 30%</v>
      </c>
      <c r="B105" s="84"/>
      <c r="C105" s="84">
        <f>'[1]Beschr-Descr.'!C42</f>
        <v>0</v>
      </c>
      <c r="D105" s="84">
        <f>'[1]Beschr-Descr.'!D42</f>
        <v>0</v>
      </c>
      <c r="E105" s="207">
        <f>'[1]Beschr-Descr.'!E42</f>
        <v>0.3</v>
      </c>
    </row>
    <row r="106" spans="1:5" x14ac:dyDescent="0.2">
      <c r="A106" s="84" t="str">
        <f>'[1]Beschr-Descr.'!A43</f>
        <v>Ore straordinarie 50%</v>
      </c>
      <c r="B106" s="84"/>
      <c r="C106" s="84">
        <f>'[1]Beschr-Descr.'!C43</f>
        <v>0</v>
      </c>
      <c r="D106" s="84">
        <f>'[1]Beschr-Descr.'!D43</f>
        <v>0</v>
      </c>
      <c r="E106" s="207">
        <f>'[1]Beschr-Descr.'!E43</f>
        <v>0.5</v>
      </c>
    </row>
    <row r="107" spans="1:5" x14ac:dyDescent="0.2">
      <c r="A107" s="84" t="str">
        <f>'[1]Beschr-Descr.'!A44</f>
        <v>Ore notturne 50%</v>
      </c>
      <c r="B107" s="84"/>
      <c r="C107" s="84">
        <f>'[1]Beschr-Descr.'!C44</f>
        <v>0</v>
      </c>
      <c r="D107" s="84">
        <f>'[1]Beschr-Descr.'!D44</f>
        <v>0</v>
      </c>
      <c r="E107" s="207">
        <f>'[1]Beschr-Descr.'!E44</f>
        <v>0.5</v>
      </c>
    </row>
    <row r="108" spans="1:5" x14ac:dyDescent="0.2">
      <c r="A108" s="84">
        <f>'[1]Beschr-Descr.'!A45</f>
        <v>0</v>
      </c>
      <c r="B108" s="84"/>
      <c r="C108" s="84">
        <f>'[1]Beschr-Descr.'!C45</f>
        <v>0</v>
      </c>
      <c r="D108" s="84">
        <f>'[1]Beschr-Descr.'!D45</f>
        <v>0</v>
      </c>
      <c r="E108" s="207">
        <f>'[1]Beschr-Descr.'!E45</f>
        <v>0</v>
      </c>
    </row>
    <row r="109" spans="1:5" x14ac:dyDescent="0.2">
      <c r="A109" s="84" t="str">
        <f>'[1]Beschr-Descr.'!A46</f>
        <v>Indennità di malattia totale</v>
      </c>
      <c r="B109" s="84"/>
      <c r="C109" s="84">
        <f>'[1]Beschr-Descr.'!C46</f>
        <v>0</v>
      </c>
      <c r="D109" s="84">
        <f>'[1]Beschr-Descr.'!D46</f>
        <v>0</v>
      </c>
      <c r="E109" s="207">
        <f>'[1]Beschr-Descr.'!E46</f>
        <v>0</v>
      </c>
    </row>
    <row r="110" spans="1:5" x14ac:dyDescent="0.2">
      <c r="A110" s="84" t="str">
        <f>'[1]Beschr-Descr.'!A47</f>
        <v>Indennità di malattia quota INPS 50%</v>
      </c>
      <c r="B110" s="84"/>
      <c r="C110" s="84">
        <f>'[1]Beschr-Descr.'!C47</f>
        <v>0</v>
      </c>
      <c r="D110" s="84">
        <f>'[1]Beschr-Descr.'!D47</f>
        <v>0</v>
      </c>
      <c r="E110" s="207">
        <f>'[1]Beschr-Descr.'!E47</f>
        <v>-0.5</v>
      </c>
    </row>
    <row r="111" spans="1:5" x14ac:dyDescent="0.2">
      <c r="A111" s="84" t="str">
        <f>'[1]Beschr-Descr.'!A48</f>
        <v>Indennità di malattia quota INPS 66,67%</v>
      </c>
      <c r="B111" s="84"/>
      <c r="C111" s="84">
        <f>'[1]Beschr-Descr.'!C48</f>
        <v>0</v>
      </c>
      <c r="D111" s="84">
        <f>'[1]Beschr-Descr.'!D48</f>
        <v>0</v>
      </c>
      <c r="E111" s="207">
        <f>'[1]Beschr-Descr.'!E48</f>
        <v>-0.66669999999999996</v>
      </c>
    </row>
    <row r="112" spans="1:5" x14ac:dyDescent="0.2">
      <c r="A112" s="84" t="str">
        <f>'[1]Beschr-Descr.'!A49</f>
        <v>Indennità di maternità importo totale</v>
      </c>
      <c r="B112" s="84"/>
      <c r="C112" s="84">
        <f>'[1]Beschr-Descr.'!C49</f>
        <v>0</v>
      </c>
      <c r="D112" s="84">
        <f>'[1]Beschr-Descr.'!D49</f>
        <v>0</v>
      </c>
      <c r="E112" s="207">
        <f>'[1]Beschr-Descr.'!E49</f>
        <v>0</v>
      </c>
    </row>
    <row r="113" spans="1:5" x14ac:dyDescent="0.2">
      <c r="A113" s="84" t="str">
        <f>'[1]Beschr-Descr.'!A50</f>
        <v>Indennità di maternità quota INPS 80,00%</v>
      </c>
      <c r="B113" s="84"/>
      <c r="C113" s="84">
        <f>'[1]Beschr-Descr.'!C50</f>
        <v>0</v>
      </c>
      <c r="D113" s="84">
        <f>'[1]Beschr-Descr.'!D50</f>
        <v>0</v>
      </c>
      <c r="E113" s="207">
        <f>'[1]Beschr-Descr.'!E50</f>
        <v>-0.8</v>
      </c>
    </row>
    <row r="114" spans="1:5" x14ac:dyDescent="0.2">
      <c r="A114" s="84" t="str">
        <f>'[1]Beschr-Descr.'!A51</f>
        <v>Lordizzazione indennità malattia quota INPS</v>
      </c>
      <c r="B114" s="84"/>
      <c r="C114" s="84">
        <f>'[1]Beschr-Descr.'!C51</f>
        <v>0</v>
      </c>
      <c r="D114" s="84">
        <f>'[1]Beschr-Descr.'!D51</f>
        <v>0</v>
      </c>
      <c r="E114" s="207">
        <f>'[1]Beschr-Descr.'!E51</f>
        <v>0.1012</v>
      </c>
    </row>
    <row r="115" spans="1:5" x14ac:dyDescent="0.2">
      <c r="A115" s="84">
        <f>'[1]Beschr-Descr.'!A52</f>
        <v>0</v>
      </c>
      <c r="B115" s="84"/>
      <c r="C115" s="84">
        <f>'[1]Beschr-Descr.'!C52</f>
        <v>0</v>
      </c>
      <c r="D115" s="84">
        <f>'[1]Beschr-Descr.'!D52</f>
        <v>0</v>
      </c>
      <c r="E115" s="207">
        <f>'[1]Beschr-Descr.'!E52</f>
        <v>0</v>
      </c>
    </row>
    <row r="116" spans="1:5" x14ac:dyDescent="0.2">
      <c r="A116" s="84" t="str">
        <f>'[1]Beschr-Descr.'!A53</f>
        <v>13a mensilità</v>
      </c>
      <c r="B116" s="84"/>
      <c r="C116" s="84">
        <f>'[1]Beschr-Descr.'!C53</f>
        <v>0</v>
      </c>
      <c r="D116" s="84">
        <f>'[1]Beschr-Descr.'!D53</f>
        <v>0</v>
      </c>
      <c r="E116" s="207">
        <f>'[1]Beschr-Descr.'!E53</f>
        <v>0</v>
      </c>
    </row>
    <row r="117" spans="1:5" x14ac:dyDescent="0.2">
      <c r="A117" s="84" t="str">
        <f>'[1]Beschr-Descr.'!A54</f>
        <v>14a mensilità</v>
      </c>
      <c r="B117" s="84"/>
      <c r="C117" s="84">
        <f>'[1]Beschr-Descr.'!C54</f>
        <v>0</v>
      </c>
      <c r="D117" s="84">
        <f>'[1]Beschr-Descr.'!D54</f>
        <v>0</v>
      </c>
      <c r="E117" s="207">
        <f>'[1]Beschr-Descr.'!E54</f>
        <v>0</v>
      </c>
    </row>
    <row r="118" spans="1:5" x14ac:dyDescent="0.2">
      <c r="A118" s="84" t="str">
        <f>'[1]Beschr-Descr.'!A55</f>
        <v>Mancato rispetto periodo preavviso licenziamento</v>
      </c>
      <c r="B118" s="84"/>
      <c r="C118" s="84">
        <f>'[1]Beschr-Descr.'!C55</f>
        <v>0</v>
      </c>
      <c r="D118" s="84">
        <f>'[1]Beschr-Descr.'!D55</f>
        <v>0</v>
      </c>
      <c r="E118" s="207">
        <f>'[1]Beschr-Descr.'!E55</f>
        <v>0</v>
      </c>
    </row>
    <row r="119" spans="1:5" x14ac:dyDescent="0.2">
      <c r="A119" s="84" t="str">
        <f>'[1]Beschr-Descr.'!A56</f>
        <v>Una Tantum</v>
      </c>
      <c r="B119" s="84"/>
      <c r="C119" s="84">
        <f>'[1]Beschr-Descr.'!C56</f>
        <v>0</v>
      </c>
      <c r="D119" s="84">
        <f>'[1]Beschr-Descr.'!D56</f>
        <v>0</v>
      </c>
      <c r="E119" s="207">
        <f>'[1]Beschr-Descr.'!E56</f>
        <v>0</v>
      </c>
    </row>
    <row r="120" spans="1:5" x14ac:dyDescent="0.2">
      <c r="A120" s="84" t="str">
        <f>'[1]Beschr-Descr.'!A57</f>
        <v>Premio</v>
      </c>
      <c r="B120" s="84"/>
      <c r="C120" s="84">
        <f>'[1]Beschr-Descr.'!C57</f>
        <v>0</v>
      </c>
      <c r="D120" s="84">
        <f>'[1]Beschr-Descr.'!D57</f>
        <v>0</v>
      </c>
      <c r="E120" s="207">
        <f>'[1]Beschr-Descr.'!E57</f>
        <v>0</v>
      </c>
    </row>
    <row r="121" spans="1:5" x14ac:dyDescent="0.2">
      <c r="A121" s="84">
        <f>'[1]Beschr-Descr.'!A58</f>
        <v>0</v>
      </c>
      <c r="B121" s="84"/>
      <c r="C121" s="84">
        <f>'[1]Beschr-Descr.'!C58</f>
        <v>0</v>
      </c>
      <c r="D121" s="84">
        <f>'[1]Beschr-Descr.'!D58</f>
        <v>0</v>
      </c>
      <c r="E121" s="207">
        <f>'[1]Beschr-Descr.'!E58</f>
        <v>0</v>
      </c>
    </row>
    <row r="122" spans="1:5" x14ac:dyDescent="0.2">
      <c r="A122">
        <f>'[1]Beschr-Descr.'!A63</f>
        <v>0</v>
      </c>
    </row>
    <row r="123" spans="1:5" x14ac:dyDescent="0.2">
      <c r="A123">
        <f>'[1]Beschr-Descr.'!A64</f>
        <v>0</v>
      </c>
    </row>
    <row r="124" spans="1:5" x14ac:dyDescent="0.2">
      <c r="A124">
        <v>0</v>
      </c>
    </row>
    <row r="125" spans="1:5" x14ac:dyDescent="0.2">
      <c r="A125">
        <v>0</v>
      </c>
    </row>
    <row r="126" spans="1:5" x14ac:dyDescent="0.2">
      <c r="A126">
        <v>0</v>
      </c>
    </row>
    <row r="127" spans="1:5" x14ac:dyDescent="0.2">
      <c r="A127">
        <v>0</v>
      </c>
    </row>
    <row r="128" spans="1:5" x14ac:dyDescent="0.2">
      <c r="A128">
        <v>0</v>
      </c>
    </row>
    <row r="129" spans="1:1" x14ac:dyDescent="0.2">
      <c r="A129">
        <v>0</v>
      </c>
    </row>
    <row r="130" spans="1:1" x14ac:dyDescent="0.2">
      <c r="A130">
        <v>0</v>
      </c>
    </row>
    <row r="131" spans="1:1" x14ac:dyDescent="0.2">
      <c r="A131">
        <v>0</v>
      </c>
    </row>
    <row r="132" spans="1:1" x14ac:dyDescent="0.2">
      <c r="A132">
        <v>0</v>
      </c>
    </row>
    <row r="133" spans="1:1" x14ac:dyDescent="0.2">
      <c r="A133">
        <v>0</v>
      </c>
    </row>
    <row r="134" spans="1:1" x14ac:dyDescent="0.2">
      <c r="A134">
        <v>0</v>
      </c>
    </row>
    <row r="135" spans="1:1" x14ac:dyDescent="0.2">
      <c r="A135">
        <v>0</v>
      </c>
    </row>
    <row r="136" spans="1:1" x14ac:dyDescent="0.2">
      <c r="A136">
        <v>0</v>
      </c>
    </row>
    <row r="137" spans="1:1" x14ac:dyDescent="0.2">
      <c r="A137">
        <v>0</v>
      </c>
    </row>
    <row r="138" spans="1:1" x14ac:dyDescent="0.2">
      <c r="A138">
        <v>0</v>
      </c>
    </row>
    <row r="139" spans="1:1" x14ac:dyDescent="0.2">
      <c r="A139">
        <v>0</v>
      </c>
    </row>
    <row r="140" spans="1:1" x14ac:dyDescent="0.2">
      <c r="A140">
        <v>0</v>
      </c>
    </row>
    <row r="141" spans="1:1" x14ac:dyDescent="0.2">
      <c r="A141">
        <v>0</v>
      </c>
    </row>
    <row r="142" spans="1:1" x14ac:dyDescent="0.2">
      <c r="A142">
        <v>0</v>
      </c>
    </row>
    <row r="143" spans="1:1" x14ac:dyDescent="0.2">
      <c r="A143">
        <v>0</v>
      </c>
    </row>
    <row r="144" spans="1:1" x14ac:dyDescent="0.2">
      <c r="A144">
        <v>0</v>
      </c>
    </row>
    <row r="145" spans="1:1" x14ac:dyDescent="0.2">
      <c r="A145">
        <v>0</v>
      </c>
    </row>
    <row r="146" spans="1:1" x14ac:dyDescent="0.2">
      <c r="A146">
        <v>0</v>
      </c>
    </row>
    <row r="147" spans="1:1" x14ac:dyDescent="0.2">
      <c r="A147">
        <v>0</v>
      </c>
    </row>
    <row r="148" spans="1:1" x14ac:dyDescent="0.2">
      <c r="A148">
        <v>0</v>
      </c>
    </row>
    <row r="149" spans="1:1" x14ac:dyDescent="0.2">
      <c r="A149">
        <v>0</v>
      </c>
    </row>
    <row r="150" spans="1:1" x14ac:dyDescent="0.2">
      <c r="A150">
        <v>0</v>
      </c>
    </row>
    <row r="151" spans="1:1" x14ac:dyDescent="0.2">
      <c r="A151">
        <v>0</v>
      </c>
    </row>
    <row r="152" spans="1:1" x14ac:dyDescent="0.2">
      <c r="A152">
        <v>0</v>
      </c>
    </row>
    <row r="153" spans="1:1" x14ac:dyDescent="0.2">
      <c r="A153">
        <v>0</v>
      </c>
    </row>
    <row r="154" spans="1:1" x14ac:dyDescent="0.2">
      <c r="A154">
        <v>0</v>
      </c>
    </row>
    <row r="155" spans="1:1" x14ac:dyDescent="0.2">
      <c r="A155">
        <v>0</v>
      </c>
    </row>
    <row r="156" spans="1:1" x14ac:dyDescent="0.2">
      <c r="A156">
        <v>0</v>
      </c>
    </row>
    <row r="157" spans="1:1" x14ac:dyDescent="0.2">
      <c r="A157">
        <v>0</v>
      </c>
    </row>
    <row r="158" spans="1:1" x14ac:dyDescent="0.2">
      <c r="A158">
        <v>0</v>
      </c>
    </row>
    <row r="159" spans="1:1" x14ac:dyDescent="0.2">
      <c r="A159">
        <v>0</v>
      </c>
    </row>
    <row r="160" spans="1:1" x14ac:dyDescent="0.2">
      <c r="A160">
        <v>0</v>
      </c>
    </row>
    <row r="161" spans="1:1" x14ac:dyDescent="0.2">
      <c r="A161">
        <v>0</v>
      </c>
    </row>
  </sheetData>
  <mergeCells count="70">
    <mergeCell ref="L50:L51"/>
    <mergeCell ref="N60:O60"/>
    <mergeCell ref="J54:O54"/>
    <mergeCell ref="J57:O57"/>
    <mergeCell ref="N55:O55"/>
    <mergeCell ref="N56:O56"/>
    <mergeCell ref="N58:O58"/>
    <mergeCell ref="N59:O59"/>
    <mergeCell ref="Q53:R53"/>
    <mergeCell ref="U53:U54"/>
    <mergeCell ref="S53:S54"/>
    <mergeCell ref="T53:T54"/>
    <mergeCell ref="U41:U43"/>
    <mergeCell ref="E51:F51"/>
    <mergeCell ref="E52:F52"/>
    <mergeCell ref="E50:F50"/>
    <mergeCell ref="E43:F43"/>
    <mergeCell ref="T41:T43"/>
    <mergeCell ref="E48:F48"/>
    <mergeCell ref="O50:O51"/>
    <mergeCell ref="K50:K51"/>
    <mergeCell ref="M50:M51"/>
    <mergeCell ref="E49:F49"/>
    <mergeCell ref="N50:N51"/>
    <mergeCell ref="E44:F44"/>
    <mergeCell ref="E45:F45"/>
    <mergeCell ref="E47:F47"/>
    <mergeCell ref="E46:F46"/>
    <mergeCell ref="J52:O52"/>
    <mergeCell ref="A27:C27"/>
    <mergeCell ref="A28:C28"/>
    <mergeCell ref="A19:C19"/>
    <mergeCell ref="Q41:R42"/>
    <mergeCell ref="S41:S43"/>
    <mergeCell ref="A20:C20"/>
    <mergeCell ref="A22:C22"/>
    <mergeCell ref="A24:C24"/>
    <mergeCell ref="A23:C23"/>
    <mergeCell ref="A26:C26"/>
    <mergeCell ref="A25:C25"/>
    <mergeCell ref="A21:C21"/>
    <mergeCell ref="E59:F59"/>
    <mergeCell ref="E54:F54"/>
    <mergeCell ref="E55:F55"/>
    <mergeCell ref="E56:F56"/>
    <mergeCell ref="E57:F57"/>
    <mergeCell ref="E58:F58"/>
    <mergeCell ref="E3:F3"/>
    <mergeCell ref="E7:F7"/>
    <mergeCell ref="E5:F5"/>
    <mergeCell ref="E8:F8"/>
    <mergeCell ref="E14:F14"/>
    <mergeCell ref="E12:F12"/>
    <mergeCell ref="E13:F13"/>
    <mergeCell ref="Q5:S6"/>
    <mergeCell ref="Q7:S8"/>
    <mergeCell ref="Q10:S11"/>
    <mergeCell ref="E9:F9"/>
    <mergeCell ref="E11:F11"/>
    <mergeCell ref="L10:L18"/>
    <mergeCell ref="E18:F18"/>
    <mergeCell ref="E15:F15"/>
    <mergeCell ref="E16:F16"/>
    <mergeCell ref="J1:O1"/>
    <mergeCell ref="J8:O9"/>
    <mergeCell ref="J10:J18"/>
    <mergeCell ref="K10:K18"/>
    <mergeCell ref="M10:M18"/>
    <mergeCell ref="N10:N18"/>
    <mergeCell ref="O10:O18"/>
  </mergeCells>
  <phoneticPr fontId="2" type="noConversion"/>
  <dataValidations count="2">
    <dataValidation type="list" allowBlank="1" showInputMessage="1" showErrorMessage="1" sqref="E19:E28" xr:uid="{00000000-0002-0000-0400-000000000000}">
      <formula1>$F$67:$F$70</formula1>
    </dataValidation>
    <dataValidation type="list" allowBlank="1" showInputMessage="1" showErrorMessage="1" sqref="A19:C28" xr:uid="{00000000-0002-0000-0400-000001000000}">
      <formula1>$A$67:$A$149</formula1>
    </dataValidation>
  </dataValidations>
  <printOptions horizontalCentered="1" verticalCentered="1"/>
  <pageMargins left="0.19685039370078741" right="0.19685039370078741" top="0.39370078740157483" bottom="0.39370078740157483" header="0" footer="0.19685039370078741"/>
  <pageSetup paperSize="9" orientation="portrait" r:id="rId1"/>
  <headerFooter alignWithMargins="0">
    <oddFooter>&amp;C&amp;"Calibri,Standard"Lohnberechnung FRINO PRO 2017 von Dr. Friedrich Nöckler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6148" r:id="rId4" name="Drop Down 4">
              <controlPr defaultSize="0" print="0" autoLine="0" autoPict="0">
                <anchor moveWithCells="1">
                  <from>
                    <xdr:col>6</xdr:col>
                    <xdr:colOff>9525</xdr:colOff>
                    <xdr:row>1</xdr:row>
                    <xdr:rowOff>171450</xdr:rowOff>
                  </from>
                  <to>
                    <xdr:col>8</xdr:col>
                    <xdr:colOff>552450</xdr:colOff>
                    <xdr:row>3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6"/>
  <dimension ref="A1:Z161"/>
  <sheetViews>
    <sheetView showGridLines="0" showZeros="0" zoomScaleNormal="100" workbookViewId="0"/>
  </sheetViews>
  <sheetFormatPr baseColWidth="10" defaultRowHeight="12.75" x14ac:dyDescent="0.2"/>
  <cols>
    <col min="1" max="1" width="11.28515625" customWidth="1"/>
    <col min="2" max="2" width="11.7109375" customWidth="1"/>
    <col min="3" max="3" width="10.85546875" customWidth="1"/>
    <col min="4" max="4" width="11.28515625" customWidth="1"/>
    <col min="5" max="5" width="5.42578125" customWidth="1"/>
    <col min="6" max="6" width="6" customWidth="1"/>
    <col min="7" max="7" width="11.140625" customWidth="1"/>
    <col min="8" max="8" width="9.85546875" customWidth="1"/>
    <col min="9" max="9" width="9.140625" customWidth="1"/>
    <col min="10" max="10" width="2.5703125" style="277" customWidth="1"/>
    <col min="11" max="15" width="2.140625" customWidth="1"/>
    <col min="16" max="16" width="2.28515625" customWidth="1"/>
    <col min="17" max="17" width="11.28515625" customWidth="1"/>
    <col min="18" max="18" width="10.7109375" customWidth="1"/>
    <col min="19" max="19" width="9" bestFit="1" customWidth="1"/>
    <col min="20" max="20" width="11.28515625" bestFit="1" customWidth="1"/>
    <col min="21" max="21" width="8.5703125" bestFit="1" customWidth="1"/>
    <col min="22" max="24" width="10.7109375" customWidth="1"/>
  </cols>
  <sheetData>
    <row r="1" spans="1:26" s="144" customFormat="1" ht="16.5" customHeight="1" x14ac:dyDescent="0.2">
      <c r="A1" s="316" t="s">
        <v>106</v>
      </c>
      <c r="B1" s="317"/>
      <c r="C1" s="317"/>
      <c r="D1" s="317"/>
      <c r="E1" s="317"/>
      <c r="F1" s="317"/>
      <c r="G1" s="317"/>
      <c r="H1" s="317"/>
      <c r="I1" s="318" t="s">
        <v>47</v>
      </c>
      <c r="J1" s="473">
        <f>[1]Firma!$A$15</f>
        <v>45444</v>
      </c>
      <c r="K1" s="473"/>
      <c r="L1" s="473"/>
      <c r="M1" s="473"/>
      <c r="N1" s="473"/>
      <c r="O1" s="474"/>
      <c r="P1" s="143"/>
      <c r="Q1" s="143"/>
      <c r="R1" s="143"/>
      <c r="S1" s="143"/>
      <c r="T1" s="143"/>
      <c r="U1" s="143"/>
      <c r="V1" s="143"/>
      <c r="W1" s="143"/>
      <c r="X1" s="143"/>
      <c r="Y1" s="143"/>
      <c r="Z1" s="143"/>
    </row>
    <row r="2" spans="1:26" s="84" customFormat="1" ht="12.75" customHeight="1" x14ac:dyDescent="0.2">
      <c r="A2" s="199" t="s">
        <v>107</v>
      </c>
      <c r="B2" s="200"/>
      <c r="C2" s="200"/>
      <c r="D2" s="201"/>
      <c r="E2" s="188" t="s">
        <v>132</v>
      </c>
      <c r="F2" s="202"/>
      <c r="G2" s="204"/>
      <c r="H2" s="204"/>
      <c r="I2" s="205"/>
      <c r="J2" s="302"/>
      <c r="K2" s="201"/>
      <c r="L2" s="201"/>
      <c r="M2" s="201"/>
      <c r="N2" s="200"/>
      <c r="O2" s="303"/>
      <c r="P2" s="83"/>
      <c r="Q2" s="83"/>
      <c r="R2" s="83"/>
      <c r="S2" s="83"/>
      <c r="T2" s="83"/>
      <c r="U2" s="83"/>
      <c r="V2" s="83"/>
      <c r="W2" s="83"/>
      <c r="X2" s="83"/>
      <c r="Y2" s="83"/>
      <c r="Z2" s="83"/>
    </row>
    <row r="3" spans="1:26" ht="16.899999999999999" customHeight="1" x14ac:dyDescent="0.2">
      <c r="A3" s="88" t="s">
        <v>100</v>
      </c>
      <c r="B3" s="83" t="str">
        <f>[1]Firma!$A$4</f>
        <v>Asues GmbH</v>
      </c>
      <c r="C3" s="1"/>
      <c r="D3" s="1"/>
      <c r="E3" s="555" t="s">
        <v>126</v>
      </c>
      <c r="F3" s="556"/>
      <c r="G3" s="1" t="str">
        <f>VLOOKUP(P3,'[1]Mit-1'!$A$5:$B$19,2,FALSE)</f>
        <v>AAAAA BBBBB</v>
      </c>
      <c r="H3" s="1"/>
      <c r="I3" s="2"/>
      <c r="J3" s="304"/>
      <c r="K3" s="72"/>
      <c r="L3" s="72"/>
      <c r="M3" s="72"/>
      <c r="N3" s="72"/>
      <c r="O3" s="134"/>
      <c r="P3" s="72">
        <v>1</v>
      </c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0.5" customHeight="1" x14ac:dyDescent="0.2">
      <c r="A4" s="87" t="s">
        <v>101</v>
      </c>
      <c r="B4" s="3" t="str">
        <f>[1]Firma!$B$4</f>
        <v>Josef-Ferrari-Straße 12; 39031 Bruneck (BZ)</v>
      </c>
      <c r="C4" s="3"/>
      <c r="D4" s="3"/>
      <c r="E4" s="187" t="s">
        <v>127</v>
      </c>
      <c r="G4" s="30" t="str">
        <f>VLOOKUP($P$3,'[1]Mit-1'!$A$5:$U$19,3,FALSE)</f>
        <v>Michael-Pacher-Straße 10, 39031 Bruneck</v>
      </c>
      <c r="I4" s="134"/>
      <c r="N4" s="1"/>
      <c r="O4" s="2"/>
      <c r="P4" s="1"/>
      <c r="V4" s="1"/>
      <c r="W4" s="1"/>
      <c r="X4" s="1"/>
      <c r="Y4" s="1"/>
      <c r="Z4" s="1"/>
    </row>
    <row r="5" spans="1:26" ht="16.899999999999999" customHeight="1" x14ac:dyDescent="0.2">
      <c r="A5" s="88" t="s">
        <v>102</v>
      </c>
      <c r="B5" s="288" t="str">
        <f>[1]Firma!$C$4</f>
        <v>IT09997110213</v>
      </c>
      <c r="C5" s="3"/>
      <c r="D5" s="3"/>
      <c r="E5" s="555" t="s">
        <v>103</v>
      </c>
      <c r="F5" s="556"/>
      <c r="G5" s="30" t="str">
        <f>VLOOKUP($P$3,'[1]Mit-1'!$A$5:$U$19,6,FALSE)</f>
        <v>AAABBB84B11B220G</v>
      </c>
      <c r="I5" s="2"/>
      <c r="K5" s="1"/>
      <c r="L5" s="1"/>
      <c r="M5" s="1"/>
      <c r="N5" s="1"/>
      <c r="O5" s="2"/>
      <c r="P5" s="1"/>
      <c r="Q5" s="546" t="s">
        <v>136</v>
      </c>
      <c r="R5" s="547"/>
      <c r="S5" s="548"/>
      <c r="T5" s="1"/>
      <c r="U5" s="1"/>
      <c r="V5" s="1"/>
      <c r="W5" s="1"/>
      <c r="X5" s="1"/>
      <c r="Y5" s="1"/>
      <c r="Z5" s="1"/>
    </row>
    <row r="6" spans="1:26" ht="16.899999999999999" customHeight="1" x14ac:dyDescent="0.2">
      <c r="A6" s="88" t="s">
        <v>103</v>
      </c>
      <c r="B6" s="288" t="str">
        <f>[1]Firma!$D$4</f>
        <v>09997110213</v>
      </c>
      <c r="C6" s="3"/>
      <c r="D6" s="3"/>
      <c r="E6" s="187" t="s">
        <v>128</v>
      </c>
      <c r="G6" s="149">
        <f>VLOOKUP($P$3,'[1]Mit-1'!$A$28:$C$42,3,FALSE)</f>
        <v>1</v>
      </c>
      <c r="H6" s="89" t="s">
        <v>9</v>
      </c>
      <c r="I6" s="54">
        <f>VLOOKUP($P$3,'[1]Mit-1'!$A$5:$U$19,7,FALSE)</f>
        <v>45597</v>
      </c>
      <c r="N6" s="1"/>
      <c r="O6" s="2"/>
      <c r="P6" s="1"/>
      <c r="Q6" s="549"/>
      <c r="R6" s="550"/>
      <c r="S6" s="551"/>
      <c r="T6" s="1"/>
      <c r="U6" s="1"/>
      <c r="V6" s="1"/>
      <c r="W6" s="1"/>
      <c r="X6" s="1"/>
      <c r="Y6" s="1"/>
      <c r="Z6" s="1"/>
    </row>
    <row r="7" spans="1:26" ht="16.899999999999999" customHeight="1" x14ac:dyDescent="0.2">
      <c r="A7" s="87" t="s">
        <v>104</v>
      </c>
      <c r="B7" s="288" t="str">
        <f>[1]Firma!$E$4</f>
        <v>1420030006</v>
      </c>
      <c r="C7" s="3"/>
      <c r="D7" s="3"/>
      <c r="E7" s="555" t="s">
        <v>129</v>
      </c>
      <c r="F7" s="556"/>
      <c r="G7" s="36">
        <f>VLOOKUP($P$3,'[1]Mit-1'!$A$5:$U$19,4,FALSE)</f>
        <v>30723</v>
      </c>
      <c r="H7" s="90" t="s">
        <v>10</v>
      </c>
      <c r="I7" s="53" t="str">
        <f>VLOOKUP($P$3,'[1]Mit-1'!$A$5:$U$19,5,FALSE)</f>
        <v>Bruneck</v>
      </c>
      <c r="N7" s="1"/>
      <c r="O7" s="2"/>
      <c r="P7" s="1"/>
      <c r="Q7" s="552" t="s">
        <v>134</v>
      </c>
      <c r="R7" s="553"/>
      <c r="S7" s="554"/>
      <c r="T7" s="1"/>
      <c r="U7" s="1"/>
      <c r="V7" s="1"/>
      <c r="W7" s="1"/>
      <c r="X7" s="1"/>
      <c r="Y7" s="1"/>
      <c r="Z7" s="1"/>
    </row>
    <row r="8" spans="1:26" ht="16.899999999999999" customHeight="1" x14ac:dyDescent="0.2">
      <c r="A8" s="87" t="s">
        <v>105</v>
      </c>
      <c r="B8" s="288" t="str">
        <f>[1]Firma!$F$4</f>
        <v>13625</v>
      </c>
      <c r="C8" s="3"/>
      <c r="D8" s="3"/>
      <c r="E8" s="555" t="s">
        <v>130</v>
      </c>
      <c r="F8" s="556"/>
      <c r="G8" s="149">
        <f>VLOOKUP($P$3,'[1]Mit-2'!$A$5:$P$19,8,FALSE)</f>
        <v>2</v>
      </c>
      <c r="H8" s="91" t="s">
        <v>231</v>
      </c>
      <c r="I8" s="150">
        <f>VLOOKUP($P$3,'[1]Mit-2'!$A$46:$AD$60,22,FALSE)</f>
        <v>0</v>
      </c>
      <c r="J8" s="475" t="s">
        <v>226</v>
      </c>
      <c r="K8" s="476"/>
      <c r="L8" s="476"/>
      <c r="M8" s="476"/>
      <c r="N8" s="476"/>
      <c r="O8" s="477"/>
      <c r="P8" s="1"/>
      <c r="Q8" s="552"/>
      <c r="R8" s="553"/>
      <c r="S8" s="554"/>
      <c r="T8" s="1"/>
      <c r="U8" s="1"/>
      <c r="V8" s="1"/>
      <c r="W8" s="1"/>
      <c r="X8" s="1"/>
      <c r="Y8" s="1"/>
      <c r="Z8" s="1"/>
    </row>
    <row r="9" spans="1:26" ht="16.899999999999999" customHeight="1" x14ac:dyDescent="0.2">
      <c r="A9" s="135"/>
      <c r="B9" s="72"/>
      <c r="C9" s="72"/>
      <c r="D9" s="72"/>
      <c r="E9" s="555" t="s">
        <v>131</v>
      </c>
      <c r="F9" s="556"/>
      <c r="G9" s="447">
        <f>VLOOKUP($P$3,'[1]Mit-2'!$A$5:$AD$19,22,FALSE)</f>
        <v>100</v>
      </c>
      <c r="H9" s="90" t="s">
        <v>232</v>
      </c>
      <c r="I9" s="429"/>
      <c r="J9" s="478"/>
      <c r="K9" s="479"/>
      <c r="L9" s="479"/>
      <c r="M9" s="479"/>
      <c r="N9" s="479"/>
      <c r="O9" s="480"/>
      <c r="P9" s="1"/>
      <c r="Q9" s="198"/>
      <c r="R9" s="430"/>
      <c r="S9" s="2"/>
      <c r="T9" s="287">
        <f>[1]Firma!$B$15</f>
        <v>30</v>
      </c>
      <c r="U9" s="1"/>
      <c r="V9" s="1"/>
      <c r="W9" s="1"/>
      <c r="X9" s="1"/>
      <c r="Y9" s="1"/>
      <c r="Z9" s="1"/>
    </row>
    <row r="10" spans="1:26" ht="10.9" customHeight="1" x14ac:dyDescent="0.2">
      <c r="A10" s="189" t="s">
        <v>108</v>
      </c>
      <c r="B10" s="26"/>
      <c r="C10" s="26"/>
      <c r="D10" s="26"/>
      <c r="E10" s="26"/>
      <c r="F10" s="26"/>
      <c r="G10" s="26"/>
      <c r="H10" s="26"/>
      <c r="I10" s="190"/>
      <c r="J10" s="481" t="s">
        <v>227</v>
      </c>
      <c r="K10" s="484" t="s">
        <v>228</v>
      </c>
      <c r="L10" s="487" t="s">
        <v>229</v>
      </c>
      <c r="M10" s="487" t="s">
        <v>264</v>
      </c>
      <c r="N10" s="487" t="s">
        <v>265</v>
      </c>
      <c r="O10" s="557" t="s">
        <v>266</v>
      </c>
      <c r="P10" s="1"/>
      <c r="Q10" s="538" t="s">
        <v>207</v>
      </c>
      <c r="R10" s="539"/>
      <c r="S10" s="540"/>
      <c r="T10" s="1"/>
      <c r="U10" s="1"/>
      <c r="V10" s="1"/>
      <c r="W10" s="1"/>
      <c r="X10" s="1"/>
      <c r="Y10" s="1"/>
      <c r="Z10" s="1"/>
    </row>
    <row r="11" spans="1:26" ht="13.9" customHeight="1" x14ac:dyDescent="0.2">
      <c r="A11" s="181" t="s">
        <v>16</v>
      </c>
      <c r="B11" s="182" t="s">
        <v>11</v>
      </c>
      <c r="C11" s="182" t="s">
        <v>12</v>
      </c>
      <c r="D11" s="182" t="s">
        <v>13</v>
      </c>
      <c r="E11" s="544" t="s">
        <v>14</v>
      </c>
      <c r="F11" s="545"/>
      <c r="G11" s="182" t="s">
        <v>15</v>
      </c>
      <c r="H11" s="183" t="s">
        <v>218</v>
      </c>
      <c r="I11" s="186"/>
      <c r="J11" s="482"/>
      <c r="K11" s="485"/>
      <c r="L11" s="488"/>
      <c r="M11" s="488"/>
      <c r="N11" s="488"/>
      <c r="O11" s="558"/>
      <c r="P11" s="4"/>
      <c r="Q11" s="541"/>
      <c r="R11" s="542"/>
      <c r="S11" s="543"/>
      <c r="T11" s="4"/>
      <c r="U11" s="4"/>
      <c r="V11" s="4"/>
      <c r="W11" s="4"/>
      <c r="X11" s="4"/>
      <c r="Y11" s="4"/>
      <c r="Z11" s="4"/>
    </row>
    <row r="12" spans="1:26" x14ac:dyDescent="0.2">
      <c r="A12" s="171">
        <f>VLOOKUP($G$8,'[1]Lohntab-Tab-retr.'!$A$7:$O$15,7,FALSE)</f>
        <v>1477.83</v>
      </c>
      <c r="B12" s="172">
        <f>VLOOKUP($G$8,'[1]Lohntab-Tab-retr.'!$A$21:$O$29,7,FALSE)</f>
        <v>532.54</v>
      </c>
      <c r="C12" s="172">
        <f>I8*VLOOKUP($G$8,'[1]Lohntab-Tab-retr.'!$A$63:$O$71,7,FALSE)</f>
        <v>0</v>
      </c>
      <c r="D12" s="172">
        <f>VLOOKUP($G$8,'[1]Lohntab-Tab-retr.'!$A$35:$O$43,7,FALSE)</f>
        <v>0</v>
      </c>
      <c r="E12" s="560">
        <f>VLOOKUP($G$8,'[1]Lohntab-Tab-retr.'!$A$49:$O$57,7,FALSE)</f>
        <v>8</v>
      </c>
      <c r="F12" s="560"/>
      <c r="G12" s="172">
        <f>VLOOKUP($P$3,'[1]Mit-2'!$A$24:$P$38,8,FALSE)</f>
        <v>0</v>
      </c>
      <c r="H12" s="172">
        <f>VLOOKUP($G$8,'[1]Lohntab-Tab-retr.'!$A$77:$O$85,7,FALSE)</f>
        <v>0</v>
      </c>
      <c r="I12" s="173"/>
      <c r="J12" s="482"/>
      <c r="K12" s="485"/>
      <c r="L12" s="488"/>
      <c r="M12" s="488"/>
      <c r="N12" s="488"/>
      <c r="O12" s="558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13.9" customHeight="1" x14ac:dyDescent="0.2">
      <c r="A13" s="168" t="s">
        <v>17</v>
      </c>
      <c r="B13" s="169" t="s">
        <v>18</v>
      </c>
      <c r="C13" s="169" t="s">
        <v>19</v>
      </c>
      <c r="D13" s="169" t="s">
        <v>20</v>
      </c>
      <c r="E13" s="561" t="s">
        <v>24</v>
      </c>
      <c r="F13" s="562"/>
      <c r="G13" s="169" t="s">
        <v>23</v>
      </c>
      <c r="H13" s="170" t="s">
        <v>21</v>
      </c>
      <c r="I13" s="177" t="s">
        <v>22</v>
      </c>
      <c r="J13" s="482"/>
      <c r="K13" s="485"/>
      <c r="L13" s="488"/>
      <c r="M13" s="488"/>
      <c r="N13" s="488"/>
      <c r="O13" s="558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</row>
    <row r="14" spans="1:26" x14ac:dyDescent="0.2">
      <c r="A14" s="178">
        <f>[1]Tab!G140</f>
        <v>168</v>
      </c>
      <c r="B14" s="240">
        <f>[1]Tab!G141</f>
        <v>26</v>
      </c>
      <c r="C14" s="179">
        <f>ROUND(I14/A14,5)</f>
        <v>12.014110000000001</v>
      </c>
      <c r="D14" s="179">
        <f>ROUND(I14/B14,5)</f>
        <v>77.629620000000003</v>
      </c>
      <c r="E14" s="563">
        <f>COUNT(K19:K49)</f>
        <v>0</v>
      </c>
      <c r="F14" s="563"/>
      <c r="G14" s="240">
        <f>K50</f>
        <v>0</v>
      </c>
      <c r="H14" s="240">
        <v>26</v>
      </c>
      <c r="I14" s="180">
        <f>SUM(A12:I12)</f>
        <v>2018.37</v>
      </c>
      <c r="J14" s="482"/>
      <c r="K14" s="485"/>
      <c r="L14" s="488"/>
      <c r="M14" s="488"/>
      <c r="N14" s="488"/>
      <c r="O14" s="558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</row>
    <row r="15" spans="1:26" ht="13.9" customHeight="1" x14ac:dyDescent="0.2">
      <c r="A15" s="174" t="s">
        <v>26</v>
      </c>
      <c r="B15" s="175" t="s">
        <v>27</v>
      </c>
      <c r="C15" s="175" t="s">
        <v>25</v>
      </c>
      <c r="D15" s="175" t="s">
        <v>259</v>
      </c>
      <c r="E15" s="564" t="s">
        <v>260</v>
      </c>
      <c r="F15" s="565"/>
      <c r="G15" s="175" t="s">
        <v>261</v>
      </c>
      <c r="H15" s="146"/>
      <c r="I15" s="176"/>
      <c r="J15" s="482"/>
      <c r="K15" s="485"/>
      <c r="L15" s="488"/>
      <c r="M15" s="488"/>
      <c r="N15" s="488"/>
      <c r="O15" s="558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</row>
    <row r="16" spans="1:26" x14ac:dyDescent="0.2">
      <c r="A16" s="440">
        <f>'05'!A16+(VLOOKUP($P$3,'[1]Mit-2'!$A$90:$P$104,8,FALSE))*G9%</f>
        <v>0</v>
      </c>
      <c r="B16" s="438">
        <f>M50</f>
        <v>0</v>
      </c>
      <c r="C16" s="438">
        <f>A16-B16</f>
        <v>0</v>
      </c>
      <c r="D16" s="438">
        <f>'05'!D16+(VLOOKUP($P$3,'[1]Mit-2'!$A$90:$AD$104,22,FALSE))*G9%</f>
        <v>0</v>
      </c>
      <c r="E16" s="537">
        <f>N50</f>
        <v>0</v>
      </c>
      <c r="F16" s="537"/>
      <c r="G16" s="438">
        <f>D16-E16</f>
        <v>0</v>
      </c>
      <c r="H16" s="147"/>
      <c r="I16" s="185"/>
      <c r="J16" s="482"/>
      <c r="K16" s="485"/>
      <c r="L16" s="488"/>
      <c r="M16" s="488"/>
      <c r="N16" s="488"/>
      <c r="O16" s="558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</row>
    <row r="17" spans="1:26" ht="3.75" customHeight="1" x14ac:dyDescent="0.2">
      <c r="A17" s="167"/>
      <c r="B17" s="29"/>
      <c r="C17" s="29"/>
      <c r="D17" s="29"/>
      <c r="E17" s="29"/>
      <c r="F17" s="29"/>
      <c r="G17" s="29"/>
      <c r="H17" s="29"/>
      <c r="I17" s="35"/>
      <c r="J17" s="482"/>
      <c r="K17" s="485"/>
      <c r="L17" s="488"/>
      <c r="M17" s="488"/>
      <c r="N17" s="488"/>
      <c r="O17" s="558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16.899999999999999" customHeight="1" x14ac:dyDescent="0.2">
      <c r="A18" s="162" t="s">
        <v>28</v>
      </c>
      <c r="B18" s="163"/>
      <c r="C18" s="163"/>
      <c r="D18" s="96"/>
      <c r="E18" s="535" t="s">
        <v>29</v>
      </c>
      <c r="F18" s="536"/>
      <c r="G18" s="99" t="s">
        <v>31</v>
      </c>
      <c r="H18" s="86" t="s">
        <v>30</v>
      </c>
      <c r="I18" s="100" t="s">
        <v>233</v>
      </c>
      <c r="J18" s="483"/>
      <c r="K18" s="486"/>
      <c r="L18" s="489"/>
      <c r="M18" s="489"/>
      <c r="N18" s="489"/>
      <c r="O18" s="559"/>
      <c r="P18" s="56"/>
      <c r="V18" s="7"/>
      <c r="W18" s="7"/>
      <c r="X18" s="7"/>
      <c r="Y18" s="56"/>
      <c r="Z18" s="56"/>
    </row>
    <row r="19" spans="1:26" ht="12" customHeight="1" x14ac:dyDescent="0.2">
      <c r="A19" s="533"/>
      <c r="B19" s="534"/>
      <c r="C19" s="534"/>
      <c r="D19" s="417"/>
      <c r="E19" s="418"/>
      <c r="F19" s="419"/>
      <c r="G19" s="206">
        <f>VLOOKUP(A19,A66:F121,5,FALSE)</f>
        <v>0</v>
      </c>
      <c r="H19" s="308">
        <f>IF(E19="",0,IF(A19="",0,IF(E19="Std-ore",ROUND(C$14+C$14*G19,5),IF(E19="Tage-gg.",ROUND(D$14+D$14*G19,5),IF(E19="Monat-mese",ROUND($I$14+$I$14*G19,2))))))</f>
        <v>0</v>
      </c>
      <c r="I19" s="151">
        <f>ROUND(H19*F19,2)</f>
        <v>0</v>
      </c>
      <c r="J19" s="305">
        <v>1</v>
      </c>
      <c r="K19" s="409"/>
      <c r="L19" s="410"/>
      <c r="M19" s="410"/>
      <c r="N19" s="410"/>
      <c r="O19" s="411"/>
      <c r="P19" s="6"/>
      <c r="V19" s="1"/>
      <c r="W19" s="1"/>
      <c r="X19" s="1"/>
      <c r="Y19" s="7"/>
      <c r="Z19" s="6"/>
    </row>
    <row r="20" spans="1:26" ht="12" customHeight="1" x14ac:dyDescent="0.2">
      <c r="A20" s="526"/>
      <c r="B20" s="527"/>
      <c r="C20" s="527"/>
      <c r="D20" s="420"/>
      <c r="E20" s="421"/>
      <c r="F20" s="422"/>
      <c r="G20" s="206">
        <f>VLOOKUP(A20,A67:F122,5,FALSE)</f>
        <v>0</v>
      </c>
      <c r="H20" s="308">
        <f t="shared" ref="H20:H28" si="0">IF(E20="",0,IF(A20="",0,IF(E20="Std-ore",ROUND(C$14+C$14*G20,5),IF(E20="Tage-gg.",ROUND(D$14+D$14*G20,5),IF(E20="Monat-mese",ROUND($I$14+$I$14*G20,2))))))</f>
        <v>0</v>
      </c>
      <c r="I20" s="152">
        <f t="shared" ref="I20:I28" si="1">IF(A20="Abzug Bruttoberechnung Krankengeld INPS",ROUND(I19*G20,2),ROUND(H20*F20,2))</f>
        <v>0</v>
      </c>
      <c r="J20" s="306">
        <v>2</v>
      </c>
      <c r="K20" s="412"/>
      <c r="L20" s="413"/>
      <c r="M20" s="413"/>
      <c r="N20" s="413"/>
      <c r="O20" s="414"/>
      <c r="P20" s="6"/>
      <c r="V20" s="28"/>
      <c r="W20" s="6"/>
    </row>
    <row r="21" spans="1:26" ht="12" customHeight="1" x14ac:dyDescent="0.2">
      <c r="A21" s="526"/>
      <c r="B21" s="527"/>
      <c r="C21" s="527"/>
      <c r="D21" s="420"/>
      <c r="E21" s="421"/>
      <c r="F21" s="422"/>
      <c r="G21" s="206">
        <f>VLOOKUP(A21,A66:F121,5,FALSE)</f>
        <v>0</v>
      </c>
      <c r="H21" s="308">
        <f t="shared" si="0"/>
        <v>0</v>
      </c>
      <c r="I21" s="152">
        <f t="shared" si="1"/>
        <v>0</v>
      </c>
      <c r="J21" s="306">
        <v>3</v>
      </c>
      <c r="K21" s="412"/>
      <c r="L21" s="413"/>
      <c r="M21" s="413"/>
      <c r="N21" s="413"/>
      <c r="O21" s="414"/>
      <c r="P21" s="6"/>
      <c r="V21" s="28"/>
      <c r="W21" s="6"/>
    </row>
    <row r="22" spans="1:26" ht="12" customHeight="1" x14ac:dyDescent="0.2">
      <c r="A22" s="526"/>
      <c r="B22" s="527"/>
      <c r="C22" s="527"/>
      <c r="D22" s="420"/>
      <c r="E22" s="421"/>
      <c r="F22" s="422"/>
      <c r="G22" s="206">
        <f>VLOOKUP(A22,A67:F122,5,FALSE)</f>
        <v>0</v>
      </c>
      <c r="H22" s="308">
        <f>IF(E22="",0,IF(A22="",0,IF(E22="Std-ore",ROUND(C$14+C$14*G22,5),IF(E22="Tage-gg.",ROUND(D$14+D$14*G22,5),IF(E22="Monat-mese",ROUND($I$14+$I$14*G22,2))))))</f>
        <v>0</v>
      </c>
      <c r="I22" s="152">
        <f t="shared" si="1"/>
        <v>0</v>
      </c>
      <c r="J22" s="306">
        <v>4</v>
      </c>
      <c r="K22" s="412"/>
      <c r="L22" s="413"/>
      <c r="M22" s="413"/>
      <c r="N22" s="413"/>
      <c r="O22" s="414"/>
      <c r="P22" s="6"/>
      <c r="V22" s="28"/>
      <c r="W22" s="6"/>
    </row>
    <row r="23" spans="1:26" ht="12" customHeight="1" x14ac:dyDescent="0.2">
      <c r="A23" s="526"/>
      <c r="B23" s="527"/>
      <c r="C23" s="527"/>
      <c r="D23" s="420"/>
      <c r="E23" s="421"/>
      <c r="F23" s="422"/>
      <c r="G23" s="206">
        <f t="shared" ref="G23:G28" si="2">VLOOKUP(A23,A67:F122,5,FALSE)</f>
        <v>0</v>
      </c>
      <c r="H23" s="308">
        <f>IF(E23="",0,IF(A23="",0,IF(E23="Std-ore",ROUND(C$14+C$14*G23,5),IF(E23="Tage-gg.",ROUND(D$14+D$14*G23,5),IF(E23="Monat-mese",ROUND($I$14+$I$14*G23,2))))))</f>
        <v>0</v>
      </c>
      <c r="I23" s="152">
        <f t="shared" si="1"/>
        <v>0</v>
      </c>
      <c r="J23" s="306">
        <v>5</v>
      </c>
      <c r="K23" s="412"/>
      <c r="L23" s="413"/>
      <c r="M23" s="413"/>
      <c r="N23" s="413"/>
      <c r="O23" s="414"/>
      <c r="P23" s="6"/>
      <c r="V23" s="28"/>
      <c r="W23" s="6"/>
    </row>
    <row r="24" spans="1:26" ht="12" customHeight="1" x14ac:dyDescent="0.2">
      <c r="A24" s="526"/>
      <c r="B24" s="527"/>
      <c r="C24" s="527"/>
      <c r="D24" s="420"/>
      <c r="E24" s="421"/>
      <c r="F24" s="422"/>
      <c r="G24" s="206">
        <f t="shared" si="2"/>
        <v>0</v>
      </c>
      <c r="H24" s="308">
        <f t="shared" si="0"/>
        <v>0</v>
      </c>
      <c r="I24" s="152">
        <f t="shared" si="1"/>
        <v>0</v>
      </c>
      <c r="J24" s="306">
        <v>6</v>
      </c>
      <c r="K24" s="412"/>
      <c r="L24" s="413"/>
      <c r="M24" s="413"/>
      <c r="N24" s="413"/>
      <c r="O24" s="414"/>
      <c r="P24" s="6"/>
      <c r="V24" s="28"/>
      <c r="W24" s="6"/>
    </row>
    <row r="25" spans="1:26" ht="12" customHeight="1" x14ac:dyDescent="0.2">
      <c r="A25" s="526"/>
      <c r="B25" s="527"/>
      <c r="C25" s="527"/>
      <c r="D25" s="420"/>
      <c r="E25" s="421"/>
      <c r="F25" s="422"/>
      <c r="G25" s="206">
        <f t="shared" si="2"/>
        <v>0</v>
      </c>
      <c r="H25" s="308">
        <f t="shared" si="0"/>
        <v>0</v>
      </c>
      <c r="I25" s="152">
        <f t="shared" si="1"/>
        <v>0</v>
      </c>
      <c r="J25" s="306">
        <v>7</v>
      </c>
      <c r="K25" s="412"/>
      <c r="L25" s="413"/>
      <c r="M25" s="413"/>
      <c r="N25" s="413"/>
      <c r="O25" s="414"/>
      <c r="P25" s="6"/>
      <c r="W25" s="6"/>
    </row>
    <row r="26" spans="1:26" ht="12" customHeight="1" x14ac:dyDescent="0.2">
      <c r="A26" s="526"/>
      <c r="B26" s="527"/>
      <c r="C26" s="527"/>
      <c r="D26" s="420"/>
      <c r="E26" s="421"/>
      <c r="F26" s="422"/>
      <c r="G26" s="206">
        <f t="shared" si="2"/>
        <v>0</v>
      </c>
      <c r="H26" s="308">
        <f t="shared" si="0"/>
        <v>0</v>
      </c>
      <c r="I26" s="152">
        <f t="shared" si="1"/>
        <v>0</v>
      </c>
      <c r="J26" s="306">
        <v>8</v>
      </c>
      <c r="K26" s="412"/>
      <c r="L26" s="413"/>
      <c r="M26" s="413"/>
      <c r="N26" s="413"/>
      <c r="O26" s="414"/>
      <c r="P26" s="6"/>
      <c r="W26" s="6"/>
    </row>
    <row r="27" spans="1:26" ht="12" customHeight="1" x14ac:dyDescent="0.2">
      <c r="A27" s="526"/>
      <c r="B27" s="527"/>
      <c r="C27" s="527"/>
      <c r="D27" s="420"/>
      <c r="E27" s="421"/>
      <c r="F27" s="422"/>
      <c r="G27" s="206">
        <f t="shared" si="2"/>
        <v>0</v>
      </c>
      <c r="H27" s="308">
        <f t="shared" si="0"/>
        <v>0</v>
      </c>
      <c r="I27" s="152">
        <f t="shared" si="1"/>
        <v>0</v>
      </c>
      <c r="J27" s="306">
        <v>9</v>
      </c>
      <c r="K27" s="412"/>
      <c r="L27" s="413"/>
      <c r="M27" s="413"/>
      <c r="N27" s="413"/>
      <c r="O27" s="414"/>
      <c r="P27" s="6"/>
    </row>
    <row r="28" spans="1:26" ht="12" customHeight="1" x14ac:dyDescent="0.2">
      <c r="A28" s="526"/>
      <c r="B28" s="527"/>
      <c r="C28" s="527"/>
      <c r="D28" s="420"/>
      <c r="E28" s="421"/>
      <c r="F28" s="422"/>
      <c r="G28" s="206">
        <f t="shared" si="2"/>
        <v>0</v>
      </c>
      <c r="H28" s="308">
        <f t="shared" si="0"/>
        <v>0</v>
      </c>
      <c r="I28" s="152">
        <f t="shared" si="1"/>
        <v>0</v>
      </c>
      <c r="J28" s="306">
        <v>10</v>
      </c>
      <c r="K28" s="412"/>
      <c r="L28" s="413"/>
      <c r="M28" s="413"/>
      <c r="N28" s="413"/>
      <c r="O28" s="414"/>
      <c r="P28" s="6"/>
    </row>
    <row r="29" spans="1:26" ht="12" customHeight="1" x14ac:dyDescent="0.2">
      <c r="A29" s="119" t="s">
        <v>109</v>
      </c>
      <c r="B29" s="57"/>
      <c r="C29" s="57"/>
      <c r="D29" s="57"/>
      <c r="E29" s="57"/>
      <c r="F29" s="58"/>
      <c r="G29" s="57"/>
      <c r="H29" s="57"/>
      <c r="I29" s="154">
        <f>SUM(I19:I28)</f>
        <v>0</v>
      </c>
      <c r="J29" s="306">
        <v>11</v>
      </c>
      <c r="K29" s="412"/>
      <c r="L29" s="413"/>
      <c r="M29" s="413"/>
      <c r="N29" s="415"/>
      <c r="O29" s="416"/>
      <c r="P29" s="9"/>
    </row>
    <row r="30" spans="1:26" ht="12" customHeight="1" x14ac:dyDescent="0.2">
      <c r="A30" s="211" t="s">
        <v>236</v>
      </c>
      <c r="B30" s="55"/>
      <c r="C30" s="59"/>
      <c r="D30" s="59"/>
      <c r="E30" s="59"/>
      <c r="F30" s="102" t="s">
        <v>55</v>
      </c>
      <c r="G30" s="73">
        <f>ROUND(I29,0)</f>
        <v>0</v>
      </c>
      <c r="H30" s="164">
        <f>'[1]Mit-1'!$C$21</f>
        <v>9.1899999999999996E-2</v>
      </c>
      <c r="I30" s="151">
        <f>-ROUND(G30*H30,2)</f>
        <v>0</v>
      </c>
      <c r="J30" s="306">
        <v>12</v>
      </c>
      <c r="K30" s="412"/>
      <c r="L30" s="413"/>
      <c r="M30" s="413"/>
      <c r="N30" s="413"/>
      <c r="O30" s="414"/>
      <c r="P30" s="1"/>
      <c r="Z30" s="1"/>
    </row>
    <row r="31" spans="1:26" ht="12" customHeight="1" x14ac:dyDescent="0.2">
      <c r="A31" s="104" t="s">
        <v>237</v>
      </c>
      <c r="B31" s="61"/>
      <c r="C31" s="62"/>
      <c r="D31" s="62"/>
      <c r="E31" s="62"/>
      <c r="F31" s="103" t="s">
        <v>55</v>
      </c>
      <c r="G31" s="60">
        <f>ROUND(I29,2)</f>
        <v>0</v>
      </c>
      <c r="H31" s="165">
        <f>VLOOKUP($P$3,'[1]Mit-1'!$A$5:$U$19,19,FALSE)</f>
        <v>1.23E-2</v>
      </c>
      <c r="I31" s="152">
        <f>-ROUND(G31*H31,2)</f>
        <v>0</v>
      </c>
      <c r="J31" s="306">
        <v>13</v>
      </c>
      <c r="K31" s="412"/>
      <c r="L31" s="413"/>
      <c r="M31" s="413"/>
      <c r="N31" s="413"/>
      <c r="O31" s="414"/>
      <c r="P31" s="1"/>
      <c r="Z31" s="1"/>
    </row>
    <row r="32" spans="1:26" ht="12" customHeight="1" x14ac:dyDescent="0.2">
      <c r="A32" s="104" t="s">
        <v>234</v>
      </c>
      <c r="B32" s="61"/>
      <c r="C32" s="62"/>
      <c r="D32" s="62"/>
      <c r="E32" s="62"/>
      <c r="F32" s="103" t="s">
        <v>55</v>
      </c>
      <c r="G32" s="327">
        <f>IF(I29=0,0,IF(R9&gt;0,SUM(A12:B12)/T9*R9,SUM(A12:B12)))</f>
        <v>0</v>
      </c>
      <c r="H32" s="165">
        <f>'[1]Mit-1'!$I$21</f>
        <v>1E-3</v>
      </c>
      <c r="I32" s="152">
        <f>-ROUND(G32*H32,2)</f>
        <v>0</v>
      </c>
      <c r="J32" s="306">
        <v>14</v>
      </c>
      <c r="K32" s="412"/>
      <c r="L32" s="413"/>
      <c r="M32" s="413"/>
      <c r="N32" s="413"/>
      <c r="O32" s="414"/>
      <c r="P32" s="1"/>
      <c r="Z32" s="1"/>
    </row>
    <row r="33" spans="1:26" ht="12" customHeight="1" x14ac:dyDescent="0.2">
      <c r="A33" s="104" t="s">
        <v>235</v>
      </c>
      <c r="B33" s="61"/>
      <c r="C33" s="62"/>
      <c r="D33" s="62"/>
      <c r="E33" s="62"/>
      <c r="F33" s="103" t="s">
        <v>55</v>
      </c>
      <c r="G33" s="60">
        <f>G30</f>
        <v>0</v>
      </c>
      <c r="H33" s="165">
        <f>'[1]Mit-1'!$I$23</f>
        <v>4.0000000000000001E-3</v>
      </c>
      <c r="I33" s="152">
        <f>-ROUND(G33*H33,2)</f>
        <v>0</v>
      </c>
      <c r="J33" s="306">
        <v>15</v>
      </c>
      <c r="K33" s="412"/>
      <c r="L33" s="413"/>
      <c r="M33" s="413"/>
      <c r="N33" s="413"/>
      <c r="O33" s="414"/>
      <c r="P33" s="1"/>
      <c r="Z33" s="1"/>
    </row>
    <row r="34" spans="1:26" ht="12" customHeight="1" x14ac:dyDescent="0.2">
      <c r="A34" s="104" t="s">
        <v>258</v>
      </c>
      <c r="B34" s="61"/>
      <c r="C34" s="62"/>
      <c r="D34" s="62"/>
      <c r="E34" s="62"/>
      <c r="F34" s="394"/>
      <c r="G34" s="52"/>
      <c r="H34" s="395"/>
      <c r="I34" s="152">
        <f>-IF(I29=0,0,'[1]Mit-1'!$I$25)</f>
        <v>0</v>
      </c>
      <c r="J34" s="306">
        <v>16</v>
      </c>
      <c r="K34" s="412"/>
      <c r="L34" s="413"/>
      <c r="M34" s="413"/>
      <c r="N34" s="413"/>
      <c r="O34" s="414"/>
      <c r="P34" s="1"/>
      <c r="Z34" s="1"/>
    </row>
    <row r="35" spans="1:26" ht="12" customHeight="1" x14ac:dyDescent="0.2">
      <c r="A35" s="104" t="s">
        <v>110</v>
      </c>
      <c r="B35" s="10"/>
      <c r="C35" s="10"/>
      <c r="D35" s="10"/>
      <c r="E35" s="10"/>
      <c r="F35" s="10"/>
      <c r="G35" s="11"/>
      <c r="H35" s="63"/>
      <c r="I35" s="152">
        <f ca="1">-SUMIF($A$19:$C$28,"Krankheit INPS-Anteil*",$I$19:$I$28)</f>
        <v>0</v>
      </c>
      <c r="J35" s="306">
        <v>17</v>
      </c>
      <c r="K35" s="412"/>
      <c r="L35" s="413"/>
      <c r="M35" s="413"/>
      <c r="N35" s="413"/>
      <c r="O35" s="414"/>
      <c r="P35" s="6"/>
      <c r="Y35" s="6"/>
      <c r="Z35" s="6"/>
    </row>
    <row r="36" spans="1:26" ht="12" customHeight="1" x14ac:dyDescent="0.2">
      <c r="A36" s="104" t="s">
        <v>111</v>
      </c>
      <c r="B36" s="10"/>
      <c r="C36" s="10"/>
      <c r="D36" s="10"/>
      <c r="E36" s="10"/>
      <c r="F36" s="10"/>
      <c r="G36" s="11"/>
      <c r="H36" s="63"/>
      <c r="I36" s="152">
        <f ca="1">-SUMIF($A$19:$C$28,"Mutterschaft INPS-Anteil*",$I$19:$I$28)</f>
        <v>0</v>
      </c>
      <c r="J36" s="306">
        <v>18</v>
      </c>
      <c r="K36" s="412"/>
      <c r="L36" s="413"/>
      <c r="M36" s="413"/>
      <c r="N36" s="413"/>
      <c r="O36" s="414"/>
      <c r="P36" s="6"/>
      <c r="Y36" s="6"/>
      <c r="Z36" s="6"/>
    </row>
    <row r="37" spans="1:26" ht="12" customHeight="1" x14ac:dyDescent="0.2">
      <c r="A37" s="105" t="s">
        <v>112</v>
      </c>
      <c r="B37" s="10"/>
      <c r="C37" s="10"/>
      <c r="D37" s="10"/>
      <c r="E37" s="10"/>
      <c r="F37" s="10"/>
      <c r="G37" s="11"/>
      <c r="H37" s="52">
        <f>ROUND(IF(I29=0,0,VLOOKUP($P$3,'[1]Mit-1'!$A$5:$AD$19,12,FALSE)),2)</f>
        <v>0</v>
      </c>
      <c r="I37" s="439"/>
      <c r="J37" s="306">
        <v>19</v>
      </c>
      <c r="K37" s="412"/>
      <c r="L37" s="413"/>
      <c r="M37" s="413"/>
      <c r="N37" s="413"/>
      <c r="O37" s="414"/>
      <c r="P37" s="6"/>
      <c r="Y37" s="6"/>
      <c r="Z37" s="6"/>
    </row>
    <row r="38" spans="1:26" ht="12" customHeight="1" x14ac:dyDescent="0.2">
      <c r="A38" s="107" t="s">
        <v>113</v>
      </c>
      <c r="B38" s="10"/>
      <c r="C38" s="10"/>
      <c r="D38" s="10"/>
      <c r="E38" s="10"/>
      <c r="F38" s="10"/>
      <c r="G38" s="11"/>
      <c r="H38" s="237">
        <f ca="1">IF(SUM(I29:I37)-H37&lt;0,0,SUM(I29:I36)-H37)</f>
        <v>0</v>
      </c>
      <c r="I38" s="160"/>
      <c r="J38" s="306">
        <v>20</v>
      </c>
      <c r="K38" s="412"/>
      <c r="L38" s="413"/>
      <c r="M38" s="413"/>
      <c r="N38" s="413"/>
      <c r="O38" s="414"/>
      <c r="P38" s="6"/>
      <c r="Y38" s="6"/>
      <c r="Z38" s="6"/>
    </row>
    <row r="39" spans="1:26" ht="12" customHeight="1" x14ac:dyDescent="0.2">
      <c r="A39" s="211" t="s">
        <v>143</v>
      </c>
      <c r="B39" s="14"/>
      <c r="C39" s="14"/>
      <c r="D39" s="14"/>
      <c r="E39" s="14"/>
      <c r="F39" s="14"/>
      <c r="G39" s="14"/>
      <c r="H39" s="239">
        <f ca="1">-U50</f>
        <v>0</v>
      </c>
      <c r="I39" s="159"/>
      <c r="J39" s="306">
        <v>21</v>
      </c>
      <c r="K39" s="412"/>
      <c r="L39" s="413"/>
      <c r="M39" s="413"/>
      <c r="N39" s="413"/>
      <c r="O39" s="414"/>
      <c r="P39" s="6"/>
      <c r="R39" s="216"/>
      <c r="V39" s="6"/>
      <c r="W39" s="6"/>
      <c r="X39" s="6"/>
      <c r="Y39" s="6"/>
      <c r="Z39" s="6"/>
    </row>
    <row r="40" spans="1:26" ht="12" customHeight="1" x14ac:dyDescent="0.2">
      <c r="A40" s="104" t="s">
        <v>144</v>
      </c>
      <c r="B40" s="10"/>
      <c r="C40" s="10"/>
      <c r="D40" s="10"/>
      <c r="E40" s="10"/>
      <c r="F40" s="10"/>
      <c r="G40" s="10"/>
      <c r="H40" s="242">
        <f>ROUND(IF(I29=0,0,VLOOKUP($P$3,'[1]Mit-1'!$A$5:$AB$19,13,FALSE)/[1]Firma!$B$24*IF(R9=0,T9,R9)),2)</f>
        <v>0</v>
      </c>
      <c r="I40" s="156"/>
      <c r="J40" s="306">
        <v>22</v>
      </c>
      <c r="K40" s="412"/>
      <c r="L40" s="413"/>
      <c r="M40" s="413"/>
      <c r="N40" s="413"/>
      <c r="O40" s="414"/>
      <c r="P40" s="6"/>
      <c r="Q40" s="220"/>
      <c r="R40" s="216"/>
      <c r="S40" s="217"/>
      <c r="T40" s="218"/>
      <c r="U40" s="219"/>
      <c r="V40" s="6"/>
      <c r="W40" s="6"/>
      <c r="X40" s="6"/>
      <c r="Y40" s="6"/>
      <c r="Z40" s="6"/>
    </row>
    <row r="41" spans="1:26" ht="12" customHeight="1" x14ac:dyDescent="0.2">
      <c r="A41" s="110" t="s">
        <v>145</v>
      </c>
      <c r="B41" s="221"/>
      <c r="C41" s="221"/>
      <c r="D41" s="221"/>
      <c r="E41" s="221"/>
      <c r="F41" s="221"/>
      <c r="G41" s="221"/>
      <c r="H41" s="242">
        <f>ROUND(IF(I29=0,0,VLOOKUP($P$3,'[1]Mit-2'!$A$46:$P$60,3,FALSE)/12),2)</f>
        <v>0</v>
      </c>
      <c r="I41" s="286"/>
      <c r="J41" s="306">
        <v>23</v>
      </c>
      <c r="K41" s="412"/>
      <c r="L41" s="413"/>
      <c r="M41" s="413"/>
      <c r="N41" s="413"/>
      <c r="O41" s="414"/>
      <c r="P41" s="6"/>
      <c r="Q41" s="492" t="s">
        <v>4</v>
      </c>
      <c r="R41" s="493"/>
      <c r="S41" s="494" t="s">
        <v>7</v>
      </c>
      <c r="T41" s="498" t="s">
        <v>5</v>
      </c>
      <c r="U41" s="490" t="s">
        <v>2</v>
      </c>
      <c r="V41" s="6"/>
      <c r="W41" s="6"/>
      <c r="X41" s="6"/>
      <c r="Y41" s="6"/>
      <c r="Z41" s="6"/>
    </row>
    <row r="42" spans="1:26" ht="12" customHeight="1" x14ac:dyDescent="0.2">
      <c r="A42" s="108" t="s">
        <v>146</v>
      </c>
      <c r="B42" s="64"/>
      <c r="C42" s="64"/>
      <c r="D42" s="64"/>
      <c r="E42" s="64"/>
      <c r="F42" s="64"/>
      <c r="G42" s="64"/>
      <c r="H42" s="65"/>
      <c r="I42" s="157">
        <f ca="1">IF(SUM(H39:H41)&gt;=0,0,SUM(H39:H41))</f>
        <v>0</v>
      </c>
      <c r="J42" s="306">
        <v>24</v>
      </c>
      <c r="K42" s="412"/>
      <c r="L42" s="413"/>
      <c r="M42" s="413"/>
      <c r="N42" s="413"/>
      <c r="O42" s="414"/>
      <c r="P42" s="6"/>
      <c r="Q42" s="529"/>
      <c r="R42" s="530"/>
      <c r="S42" s="532"/>
      <c r="T42" s="531"/>
      <c r="U42" s="528"/>
      <c r="V42" s="6"/>
      <c r="W42" s="6"/>
      <c r="X42" s="6"/>
      <c r="Y42" s="6"/>
      <c r="Z42" s="6"/>
    </row>
    <row r="43" spans="1:26" ht="12" customHeight="1" x14ac:dyDescent="0.2">
      <c r="A43" s="106" t="s">
        <v>141</v>
      </c>
      <c r="B43" s="212"/>
      <c r="C43" s="10"/>
      <c r="D43" s="213"/>
      <c r="E43" s="574"/>
      <c r="F43" s="575"/>
      <c r="G43" s="214"/>
      <c r="H43" s="215" t="s">
        <v>33</v>
      </c>
      <c r="I43" s="151"/>
      <c r="J43" s="306">
        <v>25</v>
      </c>
      <c r="K43" s="412"/>
      <c r="L43" s="413"/>
      <c r="M43" s="413"/>
      <c r="N43" s="413"/>
      <c r="O43" s="414"/>
      <c r="P43" s="6"/>
      <c r="Q43" s="81" t="s">
        <v>0</v>
      </c>
      <c r="R43" s="82" t="s">
        <v>1</v>
      </c>
      <c r="S43" s="495"/>
      <c r="T43" s="499"/>
      <c r="U43" s="491"/>
      <c r="V43" s="6"/>
      <c r="W43" s="6"/>
      <c r="X43" s="6"/>
      <c r="Y43" s="6"/>
      <c r="Z43" s="6"/>
    </row>
    <row r="44" spans="1:26" ht="12" customHeight="1" x14ac:dyDescent="0.2">
      <c r="A44" s="104" t="s">
        <v>114</v>
      </c>
      <c r="B44" s="15"/>
      <c r="C44" s="8"/>
      <c r="D44" s="16"/>
      <c r="E44" s="582"/>
      <c r="F44" s="583"/>
      <c r="G44" s="17"/>
      <c r="H44" s="407"/>
      <c r="I44" s="158">
        <f>-H44</f>
        <v>0</v>
      </c>
      <c r="J44" s="306">
        <v>26</v>
      </c>
      <c r="K44" s="412"/>
      <c r="L44" s="413"/>
      <c r="M44" s="413"/>
      <c r="N44" s="413"/>
      <c r="O44" s="414"/>
      <c r="P44" s="6"/>
      <c r="Q44" s="78">
        <f>[1]Tab!E8</f>
        <v>0</v>
      </c>
      <c r="R44" s="74">
        <f>[1]Tab!F8</f>
        <v>1250</v>
      </c>
      <c r="S44" s="75">
        <f>[1]Tab!G8</f>
        <v>0.23</v>
      </c>
      <c r="T44" s="76">
        <f>ROUND(R44*S44,2)</f>
        <v>287.5</v>
      </c>
      <c r="U44" s="76">
        <f ca="1">ROUND(IF(AND($H$38&lt;=R44,$H$38&gt;0),$H$38*S44,0),2)</f>
        <v>0</v>
      </c>
      <c r="V44" s="6"/>
      <c r="W44" s="6"/>
      <c r="X44" s="6"/>
      <c r="Y44" s="6"/>
      <c r="Z44" s="6"/>
    </row>
    <row r="45" spans="1:26" s="1" customFormat="1" ht="12" customHeight="1" x14ac:dyDescent="0.2">
      <c r="A45" s="110" t="s">
        <v>115</v>
      </c>
      <c r="B45" s="18"/>
      <c r="C45" s="111" t="s">
        <v>223</v>
      </c>
      <c r="D45" s="19">
        <v>11</v>
      </c>
      <c r="E45" s="511"/>
      <c r="F45" s="512"/>
      <c r="G45" s="20"/>
      <c r="H45" s="24">
        <f>IF(I29=0,0,VLOOKUP($P$3,'[1]Mit-2'!$A$65:$P$79,8,FALSE))</f>
        <v>0</v>
      </c>
      <c r="I45" s="155">
        <f>IF($I$9="",ROUND(IF($I$29=0,0,-H45/D45),2),-Steuern!J49)</f>
        <v>0</v>
      </c>
      <c r="J45" s="306">
        <v>27</v>
      </c>
      <c r="K45" s="412"/>
      <c r="L45" s="413"/>
      <c r="M45" s="413"/>
      <c r="N45" s="413"/>
      <c r="O45" s="414"/>
      <c r="P45" s="6"/>
      <c r="Q45" s="78">
        <f>[1]Tab!E9</f>
        <v>1250.01</v>
      </c>
      <c r="R45" s="74">
        <f>[1]Tab!F9</f>
        <v>2333.33</v>
      </c>
      <c r="S45" s="75">
        <f>[1]Tab!G9</f>
        <v>0.23</v>
      </c>
      <c r="T45" s="76">
        <f>ROUND((R45-Q45)*S45+T44,2)</f>
        <v>536.66</v>
      </c>
      <c r="U45" s="76">
        <f ca="1">ROUND(IF(AND($H$38&lt;=R45,$H$38&gt;=Q45),T44+($H$38-R44)*S45,0),2)</f>
        <v>0</v>
      </c>
      <c r="V45" s="6"/>
      <c r="W45" s="6"/>
      <c r="X45" s="6"/>
      <c r="Y45" s="6"/>
      <c r="Z45" s="6"/>
    </row>
    <row r="46" spans="1:26" ht="12" customHeight="1" x14ac:dyDescent="0.2">
      <c r="A46" s="101" t="s">
        <v>142</v>
      </c>
      <c r="B46" s="13"/>
      <c r="C46" s="14"/>
      <c r="D46" s="12"/>
      <c r="E46" s="580"/>
      <c r="F46" s="581"/>
      <c r="G46" s="112"/>
      <c r="H46" s="113" t="s">
        <v>33</v>
      </c>
      <c r="I46" s="151"/>
      <c r="J46" s="306">
        <v>28</v>
      </c>
      <c r="K46" s="412"/>
      <c r="L46" s="413"/>
      <c r="M46" s="413"/>
      <c r="N46" s="413"/>
      <c r="O46" s="414"/>
      <c r="P46" s="6"/>
      <c r="Q46" s="78">
        <f>[1]Tab!E10</f>
        <v>2333.34</v>
      </c>
      <c r="R46" s="74">
        <f>[1]Tab!F10</f>
        <v>4166.67</v>
      </c>
      <c r="S46" s="75">
        <f>[1]Tab!G10</f>
        <v>0.35</v>
      </c>
      <c r="T46" s="76">
        <f>ROUND((R46-Q46)*S46+T45,2)</f>
        <v>1178.33</v>
      </c>
      <c r="U46" s="76">
        <f ca="1">ROUND(IF(AND($H$38&lt;=R46,$H$38&gt;=Q46),T45+($H$38-R45)*S46,0),2)</f>
        <v>0</v>
      </c>
      <c r="V46" s="6"/>
      <c r="W46" s="6"/>
      <c r="X46" s="6"/>
      <c r="Y46" s="6"/>
      <c r="Z46" s="6"/>
    </row>
    <row r="47" spans="1:26" ht="12" customHeight="1" x14ac:dyDescent="0.2">
      <c r="A47" s="104" t="s">
        <v>114</v>
      </c>
      <c r="B47" s="15"/>
      <c r="C47" s="8"/>
      <c r="D47" s="16"/>
      <c r="E47" s="511"/>
      <c r="F47" s="512"/>
      <c r="G47" s="17"/>
      <c r="H47" s="407"/>
      <c r="I47" s="152">
        <f>-H47</f>
        <v>0</v>
      </c>
      <c r="J47" s="306">
        <v>29</v>
      </c>
      <c r="K47" s="412"/>
      <c r="L47" s="413"/>
      <c r="M47" s="413"/>
      <c r="N47" s="413"/>
      <c r="O47" s="414"/>
      <c r="P47" s="1"/>
      <c r="Q47" s="78">
        <f>[1]Tab!E11</f>
        <v>4166.68</v>
      </c>
      <c r="R47" s="74">
        <f>[1]Tab!F11</f>
        <v>0</v>
      </c>
      <c r="S47" s="75">
        <f>[1]Tab!G11</f>
        <v>0.43</v>
      </c>
      <c r="T47" s="76"/>
      <c r="U47" s="76">
        <f ca="1">ROUND(IF(AND($H$38&lt;=R47,$H$38&gt;=Q47),T46+($H$38-R46)*S47,0),2)</f>
        <v>0</v>
      </c>
      <c r="V47" s="1"/>
      <c r="W47" s="1"/>
      <c r="X47" s="1"/>
      <c r="Y47" s="1"/>
      <c r="Z47" s="1"/>
    </row>
    <row r="48" spans="1:26" ht="12" customHeight="1" x14ac:dyDescent="0.2">
      <c r="A48" s="224" t="s">
        <v>115</v>
      </c>
      <c r="B48" s="225"/>
      <c r="C48" s="226" t="s">
        <v>52</v>
      </c>
      <c r="D48" s="227">
        <v>11</v>
      </c>
      <c r="E48" s="578"/>
      <c r="F48" s="579"/>
      <c r="G48" s="228"/>
      <c r="H48" s="339">
        <f>IF(I29=0,0,VLOOKUP($P$3,'[1]Mit-2'!$A$65:$AD$79,22,FALSE))</f>
        <v>0</v>
      </c>
      <c r="I48" s="155">
        <f>IF($I$9="",ROUND(IF($I$29=0,0,-H48/D48),2),-Steuern!N49)</f>
        <v>0</v>
      </c>
      <c r="J48" s="306">
        <v>30</v>
      </c>
      <c r="K48" s="412"/>
      <c r="L48" s="413"/>
      <c r="M48" s="413"/>
      <c r="N48" s="413"/>
      <c r="O48" s="414"/>
      <c r="P48" s="1"/>
      <c r="Q48" s="78">
        <f>[1]Tab!E12</f>
        <v>0</v>
      </c>
      <c r="R48" s="74"/>
      <c r="S48" s="75">
        <f>[1]Tab!G12</f>
        <v>0</v>
      </c>
      <c r="T48" s="77"/>
      <c r="U48" s="76">
        <f ca="1">ROUND(IF($H$38&gt;R47,T47+($H$38-R47)*S48,0),2)</f>
        <v>0</v>
      </c>
      <c r="V48" s="1"/>
      <c r="W48" s="1"/>
      <c r="X48" s="1"/>
      <c r="Y48" s="1"/>
      <c r="Z48" s="1"/>
    </row>
    <row r="49" spans="1:26" ht="12" customHeight="1" x14ac:dyDescent="0.2">
      <c r="A49" s="110" t="s">
        <v>147</v>
      </c>
      <c r="B49" s="231">
        <v>0.3</v>
      </c>
      <c r="C49" s="232">
        <f>H48</f>
        <v>0</v>
      </c>
      <c r="D49" s="233">
        <f>ROUND(C49*B49,2)</f>
        <v>0</v>
      </c>
      <c r="E49" s="514"/>
      <c r="F49" s="515"/>
      <c r="G49" s="234" t="s">
        <v>246</v>
      </c>
      <c r="H49" s="235">
        <v>9</v>
      </c>
      <c r="I49" s="393">
        <f>IF($I$9="",ROUND(IF($I$29=0,0,-D49/H49),2),-Steuern!R50)</f>
        <v>0</v>
      </c>
      <c r="J49" s="310">
        <v>31</v>
      </c>
      <c r="K49" s="412"/>
      <c r="L49" s="413"/>
      <c r="M49" s="413"/>
      <c r="N49" s="413"/>
      <c r="O49" s="414"/>
      <c r="P49" s="1"/>
      <c r="Q49" s="78">
        <f>[1]Tab!E13</f>
        <v>0</v>
      </c>
      <c r="R49" s="74"/>
      <c r="S49" s="75">
        <f>[1]Tab!G13</f>
        <v>0</v>
      </c>
      <c r="T49" s="77"/>
      <c r="U49" s="76">
        <f ca="1">ROUND(IF($H$38&gt;R48,T48+($H$38-R48)*S49,0),2)</f>
        <v>0</v>
      </c>
      <c r="V49" s="1"/>
      <c r="W49" s="1"/>
      <c r="X49" s="1"/>
      <c r="Y49" s="1"/>
      <c r="Z49" s="1"/>
    </row>
    <row r="50" spans="1:26" ht="12" customHeight="1" x14ac:dyDescent="0.2">
      <c r="A50" s="109" t="s">
        <v>139</v>
      </c>
      <c r="B50" s="21"/>
      <c r="C50" s="114" t="s">
        <v>34</v>
      </c>
      <c r="D50" s="114" t="s">
        <v>160</v>
      </c>
      <c r="E50" s="509" t="s">
        <v>161</v>
      </c>
      <c r="F50" s="510"/>
      <c r="G50" s="114" t="s">
        <v>162</v>
      </c>
      <c r="H50" s="230" t="s">
        <v>36</v>
      </c>
      <c r="I50" s="156"/>
      <c r="J50" s="311"/>
      <c r="K50" s="500">
        <f>SUM(K19:K49)</f>
        <v>0</v>
      </c>
      <c r="L50" s="496">
        <f>SUM(L19:L49)</f>
        <v>0</v>
      </c>
      <c r="M50" s="496">
        <f>SUM(M19:M49)</f>
        <v>0</v>
      </c>
      <c r="N50" s="496">
        <f>SUM(N19:N49)</f>
        <v>0</v>
      </c>
      <c r="O50" s="502">
        <f>SUM(O19:O49)</f>
        <v>0</v>
      </c>
      <c r="P50" s="6"/>
      <c r="Q50" s="208" t="s">
        <v>8</v>
      </c>
      <c r="R50" s="209"/>
      <c r="S50" s="79"/>
      <c r="T50" s="64"/>
      <c r="U50" s="80">
        <f ca="1">ROUND(SUM(U44:U47),2)</f>
        <v>0</v>
      </c>
      <c r="V50" s="6"/>
      <c r="W50" s="6"/>
      <c r="X50" s="6"/>
      <c r="Y50" s="6"/>
      <c r="Z50" s="6"/>
    </row>
    <row r="51" spans="1:26" ht="12" customHeight="1" x14ac:dyDescent="0.2">
      <c r="A51" s="104" t="s">
        <v>117</v>
      </c>
      <c r="B51" s="22"/>
      <c r="C51" s="60">
        <f>IF(I29=0,0,Steuern!J81)</f>
        <v>0</v>
      </c>
      <c r="D51" s="60">
        <f>IF(I29=0,0,Steuern!L81)</f>
        <v>0</v>
      </c>
      <c r="E51" s="511">
        <f>IF(I29=0,0,Steuern!N81)</f>
        <v>0</v>
      </c>
      <c r="F51" s="512"/>
      <c r="G51" s="60">
        <f>IF(I29=0,0,Steuern!P81)</f>
        <v>0</v>
      </c>
      <c r="H51" s="67">
        <f>IF(I29=0,0,Steuern!R81)</f>
        <v>0</v>
      </c>
      <c r="I51" s="156"/>
      <c r="J51" s="309"/>
      <c r="K51" s="501"/>
      <c r="L51" s="497"/>
      <c r="M51" s="497"/>
      <c r="N51" s="497"/>
      <c r="O51" s="503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</row>
    <row r="52" spans="1:26" ht="12" customHeight="1" x14ac:dyDescent="0.2">
      <c r="A52" s="110" t="s">
        <v>138</v>
      </c>
      <c r="B52" s="23"/>
      <c r="C52" s="68">
        <f>IF($I$9="",0,Steuern!J89)</f>
        <v>0</v>
      </c>
      <c r="D52" s="68">
        <f>U60</f>
        <v>0</v>
      </c>
      <c r="E52" s="520">
        <f>IF($I$9="",0,conguaglio!F60)</f>
        <v>0</v>
      </c>
      <c r="F52" s="521"/>
      <c r="G52" s="50">
        <f>IF($I$9="",0,conguaglio!G63)</f>
        <v>0</v>
      </c>
      <c r="H52" s="312">
        <f>IF((D52-E52-G52)&lt;0,0,D52-E52-G52)</f>
        <v>0</v>
      </c>
      <c r="I52" s="153">
        <f>IF($I$9="",0,H51-H52)</f>
        <v>0</v>
      </c>
      <c r="J52" s="504" t="s">
        <v>230</v>
      </c>
      <c r="K52" s="505"/>
      <c r="L52" s="505"/>
      <c r="M52" s="505"/>
      <c r="N52" s="505"/>
      <c r="O52" s="506"/>
      <c r="P52" s="6"/>
      <c r="Q52" s="6"/>
      <c r="R52" s="6"/>
      <c r="S52" s="6"/>
      <c r="T52" s="66"/>
      <c r="U52" s="6"/>
      <c r="V52" s="6"/>
      <c r="W52" s="6"/>
      <c r="X52" s="6"/>
      <c r="Y52" s="6"/>
      <c r="Z52" s="6"/>
    </row>
    <row r="53" spans="1:26" ht="12" customHeight="1" x14ac:dyDescent="0.2">
      <c r="A53" s="119" t="s">
        <v>119</v>
      </c>
      <c r="B53" s="26"/>
      <c r="C53" s="26"/>
      <c r="D53" s="26"/>
      <c r="E53" s="26"/>
      <c r="F53" s="26"/>
      <c r="G53" s="26"/>
      <c r="H53" s="26"/>
      <c r="I53" s="154">
        <f ca="1">SUM(I29:I52)</f>
        <v>0</v>
      </c>
      <c r="J53" s="307"/>
      <c r="O53" s="134"/>
      <c r="P53" s="3"/>
      <c r="Q53" s="492" t="s">
        <v>6</v>
      </c>
      <c r="R53" s="493"/>
      <c r="S53" s="494" t="s">
        <v>7</v>
      </c>
      <c r="T53" s="498" t="s">
        <v>5</v>
      </c>
      <c r="U53" s="490" t="s">
        <v>2</v>
      </c>
      <c r="V53" s="3"/>
      <c r="W53" s="3"/>
      <c r="X53" s="3"/>
      <c r="Y53" s="3"/>
      <c r="Z53" s="3"/>
    </row>
    <row r="54" spans="1:26" ht="12" customHeight="1" x14ac:dyDescent="0.2">
      <c r="A54" s="115" t="s">
        <v>120</v>
      </c>
      <c r="B54" s="95" t="s">
        <v>124</v>
      </c>
      <c r="C54" s="191">
        <f>IF($I$9="",0,VLOOKUP($P$3,'[1]Mit-1'!$A$5:$AD$19,22,FALSE))</f>
        <v>0</v>
      </c>
      <c r="D54" s="95" t="s">
        <v>38</v>
      </c>
      <c r="E54" s="522">
        <f>ROUND(IF($I$9="",0,Steuern!$D$89/13.5),2)</f>
        <v>0</v>
      </c>
      <c r="F54" s="523"/>
      <c r="G54" s="95" t="s">
        <v>40</v>
      </c>
      <c r="H54" s="192">
        <f>IF($I$9="",0,Steuern!$F$89)</f>
        <v>0</v>
      </c>
      <c r="I54" s="398">
        <f>C54+E54-H54</f>
        <v>0</v>
      </c>
      <c r="J54" s="568"/>
      <c r="K54" s="476"/>
      <c r="L54" s="476"/>
      <c r="M54" s="476"/>
      <c r="N54" s="476"/>
      <c r="O54" s="477"/>
      <c r="Q54" s="81" t="s">
        <v>0</v>
      </c>
      <c r="R54" s="82" t="s">
        <v>1</v>
      </c>
      <c r="S54" s="495"/>
      <c r="T54" s="499"/>
      <c r="U54" s="491"/>
      <c r="V54" s="1"/>
      <c r="W54" s="1"/>
      <c r="X54" s="1"/>
    </row>
    <row r="55" spans="1:26" ht="15" customHeight="1" x14ac:dyDescent="0.2">
      <c r="A55" s="116" t="s">
        <v>121</v>
      </c>
      <c r="B55" s="117" t="s">
        <v>37</v>
      </c>
      <c r="C55" s="405"/>
      <c r="D55" s="117" t="s">
        <v>39</v>
      </c>
      <c r="E55" s="524"/>
      <c r="F55" s="525"/>
      <c r="G55" s="117" t="s">
        <v>35</v>
      </c>
      <c r="H55" s="407"/>
      <c r="I55" s="399">
        <f>-(E55-H55)</f>
        <v>0</v>
      </c>
      <c r="J55" s="402"/>
      <c r="K55" s="401"/>
      <c r="L55" s="401"/>
      <c r="M55" s="401"/>
      <c r="N55" s="572"/>
      <c r="O55" s="573"/>
      <c r="Q55" s="78">
        <f>[1]Tab!A8</f>
        <v>0</v>
      </c>
      <c r="R55" s="74">
        <f>[1]Tab!D8</f>
        <v>15000</v>
      </c>
      <c r="S55" s="75">
        <f>S44</f>
        <v>0.23</v>
      </c>
      <c r="T55" s="76">
        <f>ROUND(R55*S55,2)</f>
        <v>3450</v>
      </c>
      <c r="U55" s="76">
        <f>ROUND(IF(AND($C$52&lt;=R55,C52&gt;0),$C$52*S55,0),2)</f>
        <v>0</v>
      </c>
      <c r="V55" s="1"/>
      <c r="W55" s="1"/>
      <c r="X55" s="1"/>
    </row>
    <row r="56" spans="1:26" ht="16.899999999999999" customHeight="1" x14ac:dyDescent="0.2">
      <c r="A56" s="453" t="s">
        <v>122</v>
      </c>
      <c r="B56" s="118" t="s">
        <v>125</v>
      </c>
      <c r="C56" s="454">
        <f>ROUND(C54*'[1]Mit-2'!$H$84%,2)</f>
        <v>0</v>
      </c>
      <c r="D56" s="118" t="s">
        <v>262</v>
      </c>
      <c r="E56" s="520">
        <f>ROUND(C56*[1]Tab!$G$142,2)</f>
        <v>0</v>
      </c>
      <c r="F56" s="521"/>
      <c r="G56" s="455"/>
      <c r="H56" s="456"/>
      <c r="I56" s="153">
        <f>C56-E56</f>
        <v>0</v>
      </c>
      <c r="J56" s="402"/>
      <c r="K56" s="401"/>
      <c r="L56" s="401"/>
      <c r="M56" s="401"/>
      <c r="N56" s="572"/>
      <c r="O56" s="573"/>
      <c r="Q56" s="78">
        <f>[1]Tab!A9</f>
        <v>15000.01</v>
      </c>
      <c r="R56" s="74">
        <f>[1]Tab!D9</f>
        <v>28000</v>
      </c>
      <c r="S56" s="75">
        <f>S45</f>
        <v>0.23</v>
      </c>
      <c r="T56" s="76">
        <f>ROUND((R56-Q56)*S56+T55,2)</f>
        <v>6440</v>
      </c>
      <c r="U56" s="76">
        <f>ROUND(IF(AND($C$52&lt;=R56,$C$52&gt;=Q56),T55+($C$52-R55)*S56,0),2)</f>
        <v>0</v>
      </c>
    </row>
    <row r="57" spans="1:26" ht="12.75" customHeight="1" x14ac:dyDescent="0.2">
      <c r="A57" s="448" t="s">
        <v>242</v>
      </c>
      <c r="B57" s="449"/>
      <c r="C57" s="449"/>
      <c r="D57" s="450"/>
      <c r="E57" s="518"/>
      <c r="F57" s="518"/>
      <c r="G57" s="450"/>
      <c r="H57" s="451"/>
      <c r="I57" s="452">
        <f ca="1">ROUND(IF(SUM(H39:H40)&gt;=0,0,VLOOKUP($P$3,'[1]Mit-1'!$A$5:$AC$19,20,FALSE)/[1]Firma!$C$24*IF(R9=0,T9,R9)),2)</f>
        <v>0</v>
      </c>
      <c r="J57" s="569"/>
      <c r="K57" s="570"/>
      <c r="L57" s="570"/>
      <c r="M57" s="570"/>
      <c r="N57" s="570"/>
      <c r="O57" s="571"/>
      <c r="P57" s="3"/>
      <c r="Q57" s="78">
        <f>[1]Tab!A10</f>
        <v>28000.01</v>
      </c>
      <c r="R57" s="74">
        <f>[1]Tab!D10</f>
        <v>50000</v>
      </c>
      <c r="S57" s="75">
        <f>S46</f>
        <v>0.35</v>
      </c>
      <c r="T57" s="76">
        <f>ROUND((R57-Q57)*S57+T56,2)</f>
        <v>14140</v>
      </c>
      <c r="U57" s="76">
        <f>ROUND(IF(AND($C$52&lt;=R57,$C$52&gt;=Q57),T56+($C$52-R56)*S57,0),2)</f>
        <v>0</v>
      </c>
      <c r="V57" s="3"/>
      <c r="W57" s="3"/>
      <c r="X57" s="3"/>
      <c r="Y57" s="3"/>
      <c r="Z57" s="3"/>
    </row>
    <row r="58" spans="1:26" ht="12.75" customHeight="1" x14ac:dyDescent="0.2">
      <c r="A58" s="465"/>
      <c r="B58" s="466"/>
      <c r="C58" s="466"/>
      <c r="D58" s="467"/>
      <c r="E58" s="519"/>
      <c r="F58" s="519"/>
      <c r="G58" s="467"/>
      <c r="H58" s="468"/>
      <c r="I58" s="469"/>
      <c r="J58" s="402"/>
      <c r="K58" s="401"/>
      <c r="L58" s="401"/>
      <c r="M58" s="401"/>
      <c r="N58" s="572"/>
      <c r="O58" s="573"/>
      <c r="P58" s="3"/>
      <c r="Q58" s="78">
        <f>[1]Tab!A11</f>
        <v>50000.01</v>
      </c>
      <c r="R58" s="74">
        <f>[1]Tab!D11</f>
        <v>0</v>
      </c>
      <c r="S58" s="75">
        <f>S47</f>
        <v>0.43</v>
      </c>
      <c r="T58" s="76"/>
      <c r="U58" s="76">
        <f>ROUND(IF(AND($C$52&lt;=R58,$C$52&gt;=Q58),T57+($C$52-R57)*S58,0),2)</f>
        <v>0</v>
      </c>
      <c r="V58" s="3"/>
      <c r="W58" s="3"/>
      <c r="X58" s="3"/>
      <c r="Y58" s="3"/>
      <c r="Z58" s="3"/>
    </row>
    <row r="59" spans="1:26" ht="12" customHeight="1" x14ac:dyDescent="0.2">
      <c r="A59" s="106" t="s">
        <v>123</v>
      </c>
      <c r="B59" s="8"/>
      <c r="C59" s="49"/>
      <c r="D59" s="117" t="s">
        <v>41</v>
      </c>
      <c r="E59" s="576">
        <f>-'05'!H59</f>
        <v>0</v>
      </c>
      <c r="F59" s="577"/>
      <c r="G59" s="117" t="s">
        <v>42</v>
      </c>
      <c r="H59" s="145">
        <f>IF(I29=0,0,SUM(I60-Q61))</f>
        <v>0</v>
      </c>
      <c r="I59" s="399">
        <f>IF(I29=0,0,SUM(E59,H59))</f>
        <v>0</v>
      </c>
      <c r="J59" s="402"/>
      <c r="K59" s="401"/>
      <c r="L59" s="401"/>
      <c r="M59" s="401"/>
      <c r="N59" s="572"/>
      <c r="O59" s="573"/>
      <c r="P59" s="3"/>
      <c r="Q59" s="78">
        <f>[1]Tab!A12</f>
        <v>0</v>
      </c>
      <c r="R59" s="74"/>
      <c r="S59" s="75">
        <f>S48</f>
        <v>0</v>
      </c>
      <c r="T59" s="77"/>
      <c r="U59" s="76">
        <f>ROUND(IF($C$52&gt;R58,T58+($C$52-R58)*S59,0),2)</f>
        <v>0</v>
      </c>
      <c r="V59" s="3"/>
      <c r="W59" s="3"/>
      <c r="X59" s="3"/>
      <c r="Y59" s="3"/>
      <c r="Z59" s="3"/>
    </row>
    <row r="60" spans="1:26" ht="12" customHeight="1" x14ac:dyDescent="0.2">
      <c r="A60" s="319" t="s">
        <v>43</v>
      </c>
      <c r="B60" s="320"/>
      <c r="C60" s="320"/>
      <c r="D60" s="320"/>
      <c r="E60" s="320"/>
      <c r="F60" s="320"/>
      <c r="G60" s="320"/>
      <c r="H60" s="320"/>
      <c r="I60" s="400">
        <f>IF(I29=0,0,ROUNDUP(Q61,0))</f>
        <v>0</v>
      </c>
      <c r="J60" s="403"/>
      <c r="K60" s="404"/>
      <c r="L60" s="404"/>
      <c r="M60" s="404"/>
      <c r="N60" s="566"/>
      <c r="O60" s="567"/>
      <c r="P60" s="6"/>
      <c r="Q60" s="208" t="s">
        <v>8</v>
      </c>
      <c r="R60" s="209"/>
      <c r="S60" s="79"/>
      <c r="T60" s="64"/>
      <c r="U60" s="80">
        <f>ROUND(SUM(U55:U59),2)</f>
        <v>0</v>
      </c>
      <c r="V60" s="6"/>
      <c r="W60" s="6"/>
      <c r="X60" s="6"/>
      <c r="Y60" s="6"/>
      <c r="Z60" s="6"/>
    </row>
    <row r="61" spans="1:26" ht="15" customHeight="1" x14ac:dyDescent="0.2">
      <c r="A61" s="1"/>
      <c r="B61" s="1"/>
      <c r="C61" s="1"/>
      <c r="D61" s="1"/>
      <c r="E61" s="1"/>
      <c r="F61" s="1"/>
      <c r="G61" s="1"/>
      <c r="H61" s="1"/>
      <c r="I61" s="1"/>
      <c r="K61" s="1"/>
      <c r="L61" s="1"/>
      <c r="M61" s="1"/>
      <c r="Q61" s="142">
        <f ca="1">SUM(I53:I58,E59)</f>
        <v>0</v>
      </c>
    </row>
    <row r="62" spans="1:26" x14ac:dyDescent="0.2">
      <c r="Q62" s="142"/>
    </row>
    <row r="63" spans="1:26" ht="15.75" customHeight="1" x14ac:dyDescent="0.2">
      <c r="Q63" s="142"/>
    </row>
    <row r="64" spans="1:26" x14ac:dyDescent="0.2">
      <c r="A64" s="71" t="str">
        <f>'[1]Beschr-Descr.'!A1</f>
        <v xml:space="preserve">Beschreibung Lohnelemente  </v>
      </c>
      <c r="Q64" s="142"/>
    </row>
    <row r="65" spans="1:6" x14ac:dyDescent="0.2">
      <c r="A65" s="71" t="str">
        <f>'[1]Beschr-Descr.'!A2</f>
        <v>Descrizione elementi di retribuzione</v>
      </c>
      <c r="F65" s="71" t="s">
        <v>3</v>
      </c>
    </row>
    <row r="66" spans="1:6" x14ac:dyDescent="0.2">
      <c r="A66" s="84">
        <f>'[1]Beschr-Descr.'!A3</f>
        <v>0</v>
      </c>
      <c r="B66" s="84">
        <f>'[1]Beschr-Descr.'!B3</f>
        <v>0</v>
      </c>
      <c r="C66" s="84">
        <f>'[1]Beschr-Descr.'!C3</f>
        <v>0</v>
      </c>
      <c r="D66" s="84">
        <f>'[1]Beschr-Descr.'!D3</f>
        <v>0</v>
      </c>
      <c r="E66" s="84">
        <f>'[1]Beschr-Descr.'!E3</f>
        <v>0</v>
      </c>
    </row>
    <row r="67" spans="1:6" x14ac:dyDescent="0.2">
      <c r="A67" s="84" t="str">
        <f>'[1]Beschr-Descr.'!A4</f>
        <v>Normalentlohnung</v>
      </c>
      <c r="B67" s="84"/>
      <c r="C67" s="84">
        <f>'[1]Beschr-Descr.'!C4</f>
        <v>0</v>
      </c>
      <c r="D67" s="84">
        <f>'[1]Beschr-Descr.'!D4</f>
        <v>0</v>
      </c>
      <c r="E67" s="207">
        <f>'[1]Beschr-Descr.'!E4</f>
        <v>0</v>
      </c>
      <c r="F67" t="s">
        <v>44</v>
      </c>
    </row>
    <row r="68" spans="1:6" x14ac:dyDescent="0.2">
      <c r="A68" s="84" t="str">
        <f>'[1]Beschr-Descr.'!A5</f>
        <v>Genossener Urlaub</v>
      </c>
      <c r="B68" s="84"/>
      <c r="C68" s="84">
        <f>'[1]Beschr-Descr.'!C5</f>
        <v>0</v>
      </c>
      <c r="D68" s="84">
        <f>'[1]Beschr-Descr.'!D5</f>
        <v>0</v>
      </c>
      <c r="E68" s="207">
        <f>'[1]Beschr-Descr.'!E5</f>
        <v>0</v>
      </c>
      <c r="F68" t="s">
        <v>45</v>
      </c>
    </row>
    <row r="69" spans="1:6" x14ac:dyDescent="0.2">
      <c r="A69" s="84" t="str">
        <f>'[1]Beschr-Descr.'!A6</f>
        <v>Genossene Freistellungen</v>
      </c>
      <c r="B69" s="84"/>
      <c r="C69" s="84">
        <f>'[1]Beschr-Descr.'!C6</f>
        <v>0</v>
      </c>
      <c r="D69" s="84">
        <f>'[1]Beschr-Descr.'!D6</f>
        <v>0</v>
      </c>
      <c r="E69" s="207">
        <f>'[1]Beschr-Descr.'!E6</f>
        <v>0</v>
      </c>
      <c r="F69" t="s">
        <v>46</v>
      </c>
    </row>
    <row r="70" spans="1:6" x14ac:dyDescent="0.2">
      <c r="A70" s="84" t="str">
        <f>'[1]Beschr-Descr.'!A7</f>
        <v>Nicht genossener Urlaub</v>
      </c>
      <c r="B70" s="84"/>
      <c r="C70" s="84">
        <f>'[1]Beschr-Descr.'!C7</f>
        <v>0</v>
      </c>
      <c r="D70" s="84">
        <f>'[1]Beschr-Descr.'!D7</f>
        <v>0</v>
      </c>
      <c r="E70" s="207">
        <f>'[1]Beschr-Descr.'!E7</f>
        <v>0</v>
      </c>
    </row>
    <row r="71" spans="1:6" x14ac:dyDescent="0.2">
      <c r="A71" s="84" t="str">
        <f>'[1]Beschr-Descr.'!A8</f>
        <v>Nicht genossene Freistellungen</v>
      </c>
      <c r="B71" s="84"/>
      <c r="C71" s="84">
        <f>'[1]Beschr-Descr.'!C8</f>
        <v>0</v>
      </c>
      <c r="D71" s="84">
        <f>'[1]Beschr-Descr.'!D8</f>
        <v>0</v>
      </c>
      <c r="E71" s="207">
        <f>'[1]Beschr-Descr.'!E8</f>
        <v>0</v>
      </c>
    </row>
    <row r="72" spans="1:6" x14ac:dyDescent="0.2">
      <c r="A72" s="84" t="str">
        <f>'[1]Beschr-Descr.'!A9</f>
        <v>Nicht genossene Feiertage</v>
      </c>
      <c r="B72" s="84"/>
      <c r="C72" s="84">
        <f>'[1]Beschr-Descr.'!C9</f>
        <v>0</v>
      </c>
      <c r="D72" s="84">
        <f>'[1]Beschr-Descr.'!D9</f>
        <v>0</v>
      </c>
      <c r="E72" s="207">
        <f>'[1]Beschr-Descr.'!E9</f>
        <v>0</v>
      </c>
    </row>
    <row r="73" spans="1:6" x14ac:dyDescent="0.2">
      <c r="A73" s="84" t="str">
        <f>'[1]Beschr-Descr.'!A10</f>
        <v>Zulage für Kassarisiko</v>
      </c>
      <c r="B73" s="84"/>
      <c r="C73" s="84">
        <f>'[1]Beschr-Descr.'!C10</f>
        <v>0</v>
      </c>
      <c r="D73" s="84">
        <f>'[1]Beschr-Descr.'!D10</f>
        <v>0</v>
      </c>
      <c r="E73" s="207">
        <f>'[1]Beschr-Descr.'!E10</f>
        <v>0</v>
      </c>
    </row>
    <row r="74" spans="1:6" x14ac:dyDescent="0.2">
      <c r="A74" s="84">
        <f>'[1]Beschr-Descr.'!A11</f>
        <v>0</v>
      </c>
      <c r="B74" s="84"/>
      <c r="C74" s="84">
        <f>'[1]Beschr-Descr.'!C11</f>
        <v>0</v>
      </c>
      <c r="D74" s="84">
        <f>'[1]Beschr-Descr.'!D11</f>
        <v>0</v>
      </c>
      <c r="E74" s="207">
        <f>'[1]Beschr-Descr.'!E11</f>
        <v>0</v>
      </c>
    </row>
    <row r="75" spans="1:6" x14ac:dyDescent="0.2">
      <c r="A75" s="84" t="str">
        <f>'[1]Beschr-Descr.'!A12</f>
        <v xml:space="preserve">Überstunden 15%  </v>
      </c>
      <c r="B75" s="84"/>
      <c r="C75" s="84">
        <f>'[1]Beschr-Descr.'!C12</f>
        <v>0</v>
      </c>
      <c r="D75" s="84">
        <f>'[1]Beschr-Descr.'!D12</f>
        <v>0</v>
      </c>
      <c r="E75" s="207">
        <f>'[1]Beschr-Descr.'!E12</f>
        <v>0.15</v>
      </c>
    </row>
    <row r="76" spans="1:6" x14ac:dyDescent="0.2">
      <c r="A76" s="84" t="str">
        <f>'[1]Beschr-Descr.'!A13</f>
        <v xml:space="preserve">Überstunden 20%  </v>
      </c>
      <c r="B76" s="84"/>
      <c r="C76" s="84">
        <f>'[1]Beschr-Descr.'!C13</f>
        <v>0</v>
      </c>
      <c r="D76" s="84">
        <f>'[1]Beschr-Descr.'!D13</f>
        <v>0</v>
      </c>
      <c r="E76" s="207">
        <f>'[1]Beschr-Descr.'!E13</f>
        <v>0.2</v>
      </c>
    </row>
    <row r="77" spans="1:6" x14ac:dyDescent="0.2">
      <c r="A77" s="84" t="str">
        <f>'[1]Beschr-Descr.'!A14</f>
        <v xml:space="preserve">Überstunden 30%  </v>
      </c>
      <c r="B77" s="84"/>
      <c r="C77" s="84">
        <f>'[1]Beschr-Descr.'!C14</f>
        <v>0</v>
      </c>
      <c r="D77" s="84">
        <f>'[1]Beschr-Descr.'!D14</f>
        <v>0</v>
      </c>
      <c r="E77" s="207">
        <f>'[1]Beschr-Descr.'!E14</f>
        <v>0.3</v>
      </c>
    </row>
    <row r="78" spans="1:6" x14ac:dyDescent="0.2">
      <c r="A78" s="84" t="str">
        <f>'[1]Beschr-Descr.'!A15</f>
        <v xml:space="preserve">Überstunden 50%  </v>
      </c>
      <c r="B78" s="84"/>
      <c r="C78" s="84">
        <f>'[1]Beschr-Descr.'!C15</f>
        <v>0</v>
      </c>
      <c r="D78" s="84">
        <f>'[1]Beschr-Descr.'!D15</f>
        <v>0</v>
      </c>
      <c r="E78" s="207">
        <f>'[1]Beschr-Descr.'!E15</f>
        <v>0.5</v>
      </c>
    </row>
    <row r="79" spans="1:6" x14ac:dyDescent="0.2">
      <c r="A79" s="84" t="str">
        <f>'[1]Beschr-Descr.'!A16</f>
        <v>Nachtstunden 50%</v>
      </c>
      <c r="B79" s="84"/>
      <c r="C79" s="84">
        <f>'[1]Beschr-Descr.'!C16</f>
        <v>0</v>
      </c>
      <c r="D79" s="84">
        <f>'[1]Beschr-Descr.'!D16</f>
        <v>0</v>
      </c>
      <c r="E79" s="207">
        <f>'[1]Beschr-Descr.'!E16</f>
        <v>0.5</v>
      </c>
    </row>
    <row r="80" spans="1:6" x14ac:dyDescent="0.2">
      <c r="A80" s="84">
        <f>'[1]Beschr-Descr.'!A17</f>
        <v>0</v>
      </c>
      <c r="B80" s="84"/>
      <c r="C80" s="84">
        <f>'[1]Beschr-Descr.'!C17</f>
        <v>0</v>
      </c>
      <c r="D80" s="84">
        <f>'[1]Beschr-Descr.'!D17</f>
        <v>0</v>
      </c>
      <c r="E80" s="207">
        <f>'[1]Beschr-Descr.'!E17</f>
        <v>0</v>
      </c>
    </row>
    <row r="81" spans="1:5" x14ac:dyDescent="0.2">
      <c r="A81" s="84" t="str">
        <f>'[1]Beschr-Descr.'!A18</f>
        <v>Krankheit gesamt</v>
      </c>
      <c r="B81" s="84"/>
      <c r="C81" s="84">
        <f>'[1]Beschr-Descr.'!C18</f>
        <v>0</v>
      </c>
      <c r="D81" s="84">
        <f>'[1]Beschr-Descr.'!D18</f>
        <v>0</v>
      </c>
      <c r="E81" s="207">
        <f>'[1]Beschr-Descr.'!E18</f>
        <v>0</v>
      </c>
    </row>
    <row r="82" spans="1:5" x14ac:dyDescent="0.2">
      <c r="A82" s="84" t="str">
        <f>'[1]Beschr-Descr.'!A19</f>
        <v xml:space="preserve">Krankheit INPS-Anteil 50,00% </v>
      </c>
      <c r="B82" s="84"/>
      <c r="C82" s="84">
        <f>'[1]Beschr-Descr.'!C19</f>
        <v>0</v>
      </c>
      <c r="D82" s="84">
        <f>'[1]Beschr-Descr.'!D19</f>
        <v>0</v>
      </c>
      <c r="E82" s="207">
        <f>'[1]Beschr-Descr.'!E19</f>
        <v>-0.5</v>
      </c>
    </row>
    <row r="83" spans="1:5" x14ac:dyDescent="0.2">
      <c r="A83" s="84" t="str">
        <f>'[1]Beschr-Descr.'!A20</f>
        <v xml:space="preserve">Krankheit INPS-Anteil 66,67% </v>
      </c>
      <c r="B83" s="84"/>
      <c r="C83" s="84">
        <f>'[1]Beschr-Descr.'!C20</f>
        <v>0</v>
      </c>
      <c r="D83" s="84">
        <f>'[1]Beschr-Descr.'!D20</f>
        <v>0</v>
      </c>
      <c r="E83" s="207">
        <f>'[1]Beschr-Descr.'!E20</f>
        <v>-0.66669999999999996</v>
      </c>
    </row>
    <row r="84" spans="1:5" x14ac:dyDescent="0.2">
      <c r="A84" s="84" t="str">
        <f>'[1]Beschr-Descr.'!A21</f>
        <v>Mutterschaft Gesamtbetrag</v>
      </c>
      <c r="B84" s="84"/>
      <c r="C84" s="84">
        <f>'[1]Beschr-Descr.'!C21</f>
        <v>0</v>
      </c>
      <c r="D84" s="84">
        <f>'[1]Beschr-Descr.'!D21</f>
        <v>0</v>
      </c>
      <c r="E84" s="207">
        <f>'[1]Beschr-Descr.'!E21</f>
        <v>0</v>
      </c>
    </row>
    <row r="85" spans="1:5" x14ac:dyDescent="0.2">
      <c r="A85" s="84" t="str">
        <f>'[1]Beschr-Descr.'!A22</f>
        <v>Mutterschaft INPS-Anteil 80,00%</v>
      </c>
      <c r="B85" s="84"/>
      <c r="C85" s="84">
        <f>'[1]Beschr-Descr.'!C22</f>
        <v>0</v>
      </c>
      <c r="D85" s="84">
        <f>'[1]Beschr-Descr.'!D22</f>
        <v>0</v>
      </c>
      <c r="E85" s="207">
        <f>'[1]Beschr-Descr.'!E22</f>
        <v>-0.8</v>
      </c>
    </row>
    <row r="86" spans="1:5" x14ac:dyDescent="0.2">
      <c r="A86" s="84" t="str">
        <f>'[1]Beschr-Descr.'!A23</f>
        <v>Abzug Bruttoberechnung Krankengeld INPS</v>
      </c>
      <c r="B86" s="84"/>
      <c r="C86" s="84">
        <f>'[1]Beschr-Descr.'!C23</f>
        <v>0</v>
      </c>
      <c r="D86" s="84">
        <f>'[1]Beschr-Descr.'!D23</f>
        <v>0</v>
      </c>
      <c r="E86" s="207">
        <f>'[1]Beschr-Descr.'!E23</f>
        <v>0.10120030833608633</v>
      </c>
    </row>
    <row r="87" spans="1:5" x14ac:dyDescent="0.2">
      <c r="A87" s="84">
        <f>'[1]Beschr-Descr.'!A24</f>
        <v>0</v>
      </c>
      <c r="B87" s="84"/>
      <c r="C87" s="84">
        <f>'[1]Beschr-Descr.'!C24</f>
        <v>0</v>
      </c>
      <c r="D87" s="84">
        <f>'[1]Beschr-Descr.'!D24</f>
        <v>0</v>
      </c>
      <c r="E87" s="207">
        <f>'[1]Beschr-Descr.'!E24</f>
        <v>0</v>
      </c>
    </row>
    <row r="88" spans="1:5" x14ac:dyDescent="0.2">
      <c r="A88" s="84" t="str">
        <f>'[1]Beschr-Descr.'!A25</f>
        <v xml:space="preserve">13. Monatsgehalt  </v>
      </c>
      <c r="B88" s="84"/>
      <c r="C88" s="84">
        <f>'[1]Beschr-Descr.'!C25</f>
        <v>0</v>
      </c>
      <c r="D88" s="84">
        <f>'[1]Beschr-Descr.'!D25</f>
        <v>0</v>
      </c>
      <c r="E88" s="207">
        <f>'[1]Beschr-Descr.'!E25</f>
        <v>0</v>
      </c>
    </row>
    <row r="89" spans="1:5" x14ac:dyDescent="0.2">
      <c r="A89" s="84" t="str">
        <f>'[1]Beschr-Descr.'!A26</f>
        <v xml:space="preserve">14. Monatsgehalt  </v>
      </c>
      <c r="B89" s="84"/>
      <c r="C89" s="84">
        <f>'[1]Beschr-Descr.'!C26</f>
        <v>0</v>
      </c>
      <c r="D89" s="84">
        <f>'[1]Beschr-Descr.'!D26</f>
        <v>0</v>
      </c>
      <c r="E89" s="207">
        <f>'[1]Beschr-Descr.'!E26</f>
        <v>0</v>
      </c>
    </row>
    <row r="90" spans="1:5" x14ac:dyDescent="0.2">
      <c r="A90" s="84" t="str">
        <f>'[1]Beschr-Descr.'!A27</f>
        <v xml:space="preserve">Nichteinhaltung Kündigungsfrist  </v>
      </c>
      <c r="B90" s="84"/>
      <c r="C90" s="84">
        <f>'[1]Beschr-Descr.'!C27</f>
        <v>0</v>
      </c>
      <c r="D90" s="84">
        <f>'[1]Beschr-Descr.'!D27</f>
        <v>0</v>
      </c>
      <c r="E90" s="207">
        <f>'[1]Beschr-Descr.'!E27</f>
        <v>0</v>
      </c>
    </row>
    <row r="91" spans="1:5" x14ac:dyDescent="0.2">
      <c r="A91" s="84" t="str">
        <f>'[1]Beschr-Descr.'!A28</f>
        <v>Una Tantum</v>
      </c>
      <c r="B91" s="84"/>
      <c r="C91" s="84">
        <f>'[1]Beschr-Descr.'!C28</f>
        <v>0</v>
      </c>
      <c r="D91" s="84">
        <f>'[1]Beschr-Descr.'!D28</f>
        <v>0</v>
      </c>
      <c r="E91" s="207">
        <f>'[1]Beschr-Descr.'!E28</f>
        <v>0</v>
      </c>
    </row>
    <row r="92" spans="1:5" x14ac:dyDescent="0.2">
      <c r="A92" s="84" t="str">
        <f>'[1]Beschr-Descr.'!A29</f>
        <v>Prämie</v>
      </c>
      <c r="B92" s="84"/>
      <c r="C92" s="84">
        <f>'[1]Beschr-Descr.'!C29</f>
        <v>0</v>
      </c>
      <c r="D92" s="84">
        <f>'[1]Beschr-Descr.'!D29</f>
        <v>0</v>
      </c>
      <c r="E92" s="207">
        <f>'[1]Beschr-Descr.'!E29</f>
        <v>0</v>
      </c>
    </row>
    <row r="93" spans="1:5" x14ac:dyDescent="0.2">
      <c r="A93" s="84">
        <f>'[1]Beschr-Descr.'!A30</f>
        <v>0</v>
      </c>
      <c r="B93" s="84"/>
      <c r="C93" s="84">
        <f>'[1]Beschr-Descr.'!C30</f>
        <v>0</v>
      </c>
      <c r="D93" s="84">
        <f>'[1]Beschr-Descr.'!D30</f>
        <v>0</v>
      </c>
      <c r="E93" s="207">
        <f>'[1]Beschr-Descr.'!E30</f>
        <v>0</v>
      </c>
    </row>
    <row r="94" spans="1:5" x14ac:dyDescent="0.2">
      <c r="A94" s="84">
        <f>'[1]Beschr-Descr.'!A31</f>
        <v>0</v>
      </c>
      <c r="B94" s="84"/>
      <c r="C94" s="84">
        <f>'[1]Beschr-Descr.'!C31</f>
        <v>0</v>
      </c>
      <c r="D94" s="84">
        <f>'[1]Beschr-Descr.'!D31</f>
        <v>0</v>
      </c>
      <c r="E94" s="207">
        <f>'[1]Beschr-Descr.'!E31</f>
        <v>0</v>
      </c>
    </row>
    <row r="95" spans="1:5" x14ac:dyDescent="0.2">
      <c r="A95" s="84" t="str">
        <f>'[1]Beschr-Descr.'!A32</f>
        <v xml:space="preserve">Retribuzione ordinaria </v>
      </c>
      <c r="B95" s="84"/>
      <c r="C95" s="84">
        <f>'[1]Beschr-Descr.'!C32</f>
        <v>0</v>
      </c>
      <c r="D95" s="84">
        <f>'[1]Beschr-Descr.'!D32</f>
        <v>0</v>
      </c>
      <c r="E95" s="207">
        <f>'[1]Beschr-Descr.'!E32</f>
        <v>0</v>
      </c>
    </row>
    <row r="96" spans="1:5" x14ac:dyDescent="0.2">
      <c r="A96" s="84" t="str">
        <f>'[1]Beschr-Descr.'!A33</f>
        <v>Ferie godute</v>
      </c>
      <c r="B96" s="84"/>
      <c r="C96" s="84">
        <f>'[1]Beschr-Descr.'!C33</f>
        <v>0</v>
      </c>
      <c r="D96" s="84">
        <f>'[1]Beschr-Descr.'!D33</f>
        <v>0</v>
      </c>
      <c r="E96" s="207">
        <f>'[1]Beschr-Descr.'!E33</f>
        <v>0</v>
      </c>
    </row>
    <row r="97" spans="1:5" x14ac:dyDescent="0.2">
      <c r="A97" s="84" t="str">
        <f>'[1]Beschr-Descr.'!A34</f>
        <v>Permessi goduti</v>
      </c>
      <c r="B97" s="84"/>
      <c r="C97" s="84">
        <f>'[1]Beschr-Descr.'!C34</f>
        <v>0</v>
      </c>
      <c r="D97" s="84">
        <f>'[1]Beschr-Descr.'!D34</f>
        <v>0</v>
      </c>
      <c r="E97" s="207">
        <f>'[1]Beschr-Descr.'!E34</f>
        <v>0</v>
      </c>
    </row>
    <row r="98" spans="1:5" x14ac:dyDescent="0.2">
      <c r="A98" s="84" t="str">
        <f>'[1]Beschr-Descr.'!A35</f>
        <v>Ferie non godute</v>
      </c>
      <c r="B98" s="84"/>
      <c r="C98" s="84">
        <f>'[1]Beschr-Descr.'!C35</f>
        <v>0</v>
      </c>
      <c r="D98" s="84">
        <f>'[1]Beschr-Descr.'!D35</f>
        <v>0</v>
      </c>
      <c r="E98" s="207">
        <f>'[1]Beschr-Descr.'!E35</f>
        <v>0</v>
      </c>
    </row>
    <row r="99" spans="1:5" x14ac:dyDescent="0.2">
      <c r="A99" s="84" t="str">
        <f>'[1]Beschr-Descr.'!A36</f>
        <v>Ferie non godute</v>
      </c>
      <c r="B99" s="84"/>
      <c r="C99" s="84">
        <f>'[1]Beschr-Descr.'!C36</f>
        <v>0</v>
      </c>
      <c r="D99" s="84">
        <f>'[1]Beschr-Descr.'!D36</f>
        <v>0</v>
      </c>
      <c r="E99" s="207">
        <f>'[1]Beschr-Descr.'!E36</f>
        <v>0</v>
      </c>
    </row>
    <row r="100" spans="1:5" x14ac:dyDescent="0.2">
      <c r="A100" s="84" t="str">
        <f>'[1]Beschr-Descr.'!A37</f>
        <v>Festività non godute</v>
      </c>
      <c r="B100" s="84"/>
      <c r="C100" s="84">
        <f>'[1]Beschr-Descr.'!C37</f>
        <v>0</v>
      </c>
      <c r="D100" s="84">
        <f>'[1]Beschr-Descr.'!D37</f>
        <v>0</v>
      </c>
      <c r="E100" s="207">
        <f>'[1]Beschr-Descr.'!E37</f>
        <v>0</v>
      </c>
    </row>
    <row r="101" spans="1:5" x14ac:dyDescent="0.2">
      <c r="A101" s="84" t="str">
        <f>'[1]Beschr-Descr.'!A38</f>
        <v>Indennità rischio cassa</v>
      </c>
      <c r="B101" s="84"/>
      <c r="C101" s="84">
        <f>'[1]Beschr-Descr.'!C38</f>
        <v>0</v>
      </c>
      <c r="D101" s="84">
        <f>'[1]Beschr-Descr.'!D38</f>
        <v>0</v>
      </c>
      <c r="E101" s="207">
        <f>'[1]Beschr-Descr.'!E38</f>
        <v>0</v>
      </c>
    </row>
    <row r="102" spans="1:5" x14ac:dyDescent="0.2">
      <c r="A102" s="84">
        <f>'[1]Beschr-Descr.'!A39</f>
        <v>0</v>
      </c>
      <c r="B102" s="84"/>
      <c r="C102" s="84">
        <f>'[1]Beschr-Descr.'!C39</f>
        <v>0</v>
      </c>
      <c r="D102" s="84">
        <f>'[1]Beschr-Descr.'!D39</f>
        <v>0</v>
      </c>
      <c r="E102" s="207">
        <f>'[1]Beschr-Descr.'!E39</f>
        <v>0</v>
      </c>
    </row>
    <row r="103" spans="1:5" x14ac:dyDescent="0.2">
      <c r="A103" s="84" t="str">
        <f>'[1]Beschr-Descr.'!A40</f>
        <v>Ore straordinarie 15%</v>
      </c>
      <c r="B103" s="84"/>
      <c r="C103" s="84">
        <f>'[1]Beschr-Descr.'!C40</f>
        <v>0</v>
      </c>
      <c r="D103" s="84">
        <f>'[1]Beschr-Descr.'!D40</f>
        <v>0</v>
      </c>
      <c r="E103" s="207">
        <f>'[1]Beschr-Descr.'!E40</f>
        <v>0.15</v>
      </c>
    </row>
    <row r="104" spans="1:5" x14ac:dyDescent="0.2">
      <c r="A104" s="84" t="str">
        <f>'[1]Beschr-Descr.'!A41</f>
        <v>Ore straordinarie 20%</v>
      </c>
      <c r="B104" s="84"/>
      <c r="C104" s="84">
        <f>'[1]Beschr-Descr.'!C41</f>
        <v>0</v>
      </c>
      <c r="D104" s="84">
        <f>'[1]Beschr-Descr.'!D41</f>
        <v>0</v>
      </c>
      <c r="E104" s="207">
        <f>'[1]Beschr-Descr.'!E41</f>
        <v>0.2</v>
      </c>
    </row>
    <row r="105" spans="1:5" x14ac:dyDescent="0.2">
      <c r="A105" s="84" t="str">
        <f>'[1]Beschr-Descr.'!A42</f>
        <v>Ore straordinarie 30%</v>
      </c>
      <c r="B105" s="84"/>
      <c r="C105" s="84">
        <f>'[1]Beschr-Descr.'!C42</f>
        <v>0</v>
      </c>
      <c r="D105" s="84">
        <f>'[1]Beschr-Descr.'!D42</f>
        <v>0</v>
      </c>
      <c r="E105" s="207">
        <f>'[1]Beschr-Descr.'!E42</f>
        <v>0.3</v>
      </c>
    </row>
    <row r="106" spans="1:5" x14ac:dyDescent="0.2">
      <c r="A106" s="84" t="str">
        <f>'[1]Beschr-Descr.'!A43</f>
        <v>Ore straordinarie 50%</v>
      </c>
      <c r="B106" s="84"/>
      <c r="C106" s="84">
        <f>'[1]Beschr-Descr.'!C43</f>
        <v>0</v>
      </c>
      <c r="D106" s="84">
        <f>'[1]Beschr-Descr.'!D43</f>
        <v>0</v>
      </c>
      <c r="E106" s="207">
        <f>'[1]Beschr-Descr.'!E43</f>
        <v>0.5</v>
      </c>
    </row>
    <row r="107" spans="1:5" x14ac:dyDescent="0.2">
      <c r="A107" s="84" t="str">
        <f>'[1]Beschr-Descr.'!A44</f>
        <v>Ore notturne 50%</v>
      </c>
      <c r="B107" s="84"/>
      <c r="C107" s="84">
        <f>'[1]Beschr-Descr.'!C44</f>
        <v>0</v>
      </c>
      <c r="D107" s="84">
        <f>'[1]Beschr-Descr.'!D44</f>
        <v>0</v>
      </c>
      <c r="E107" s="207">
        <f>'[1]Beschr-Descr.'!E44</f>
        <v>0.5</v>
      </c>
    </row>
    <row r="108" spans="1:5" x14ac:dyDescent="0.2">
      <c r="A108" s="84">
        <f>'[1]Beschr-Descr.'!A45</f>
        <v>0</v>
      </c>
      <c r="B108" s="84"/>
      <c r="C108" s="84">
        <f>'[1]Beschr-Descr.'!C45</f>
        <v>0</v>
      </c>
      <c r="D108" s="84">
        <f>'[1]Beschr-Descr.'!D45</f>
        <v>0</v>
      </c>
      <c r="E108" s="207">
        <f>'[1]Beschr-Descr.'!E45</f>
        <v>0</v>
      </c>
    </row>
    <row r="109" spans="1:5" x14ac:dyDescent="0.2">
      <c r="A109" s="84" t="str">
        <f>'[1]Beschr-Descr.'!A46</f>
        <v>Indennità di malattia totale</v>
      </c>
      <c r="B109" s="84"/>
      <c r="C109" s="84">
        <f>'[1]Beschr-Descr.'!C46</f>
        <v>0</v>
      </c>
      <c r="D109" s="84">
        <f>'[1]Beschr-Descr.'!D46</f>
        <v>0</v>
      </c>
      <c r="E109" s="207">
        <f>'[1]Beschr-Descr.'!E46</f>
        <v>0</v>
      </c>
    </row>
    <row r="110" spans="1:5" x14ac:dyDescent="0.2">
      <c r="A110" s="84" t="str">
        <f>'[1]Beschr-Descr.'!A47</f>
        <v>Indennità di malattia quota INPS 50%</v>
      </c>
      <c r="B110" s="84"/>
      <c r="C110" s="84">
        <f>'[1]Beschr-Descr.'!C47</f>
        <v>0</v>
      </c>
      <c r="D110" s="84">
        <f>'[1]Beschr-Descr.'!D47</f>
        <v>0</v>
      </c>
      <c r="E110" s="207">
        <f>'[1]Beschr-Descr.'!E47</f>
        <v>-0.5</v>
      </c>
    </row>
    <row r="111" spans="1:5" x14ac:dyDescent="0.2">
      <c r="A111" s="84" t="str">
        <f>'[1]Beschr-Descr.'!A48</f>
        <v>Indennità di malattia quota INPS 66,67%</v>
      </c>
      <c r="B111" s="84"/>
      <c r="C111" s="84">
        <f>'[1]Beschr-Descr.'!C48</f>
        <v>0</v>
      </c>
      <c r="D111" s="84">
        <f>'[1]Beschr-Descr.'!D48</f>
        <v>0</v>
      </c>
      <c r="E111" s="207">
        <f>'[1]Beschr-Descr.'!E48</f>
        <v>-0.66669999999999996</v>
      </c>
    </row>
    <row r="112" spans="1:5" x14ac:dyDescent="0.2">
      <c r="A112" s="84" t="str">
        <f>'[1]Beschr-Descr.'!A49</f>
        <v>Indennità di maternità importo totale</v>
      </c>
      <c r="B112" s="84"/>
      <c r="C112" s="84">
        <f>'[1]Beschr-Descr.'!C49</f>
        <v>0</v>
      </c>
      <c r="D112" s="84">
        <f>'[1]Beschr-Descr.'!D49</f>
        <v>0</v>
      </c>
      <c r="E112" s="207">
        <f>'[1]Beschr-Descr.'!E49</f>
        <v>0</v>
      </c>
    </row>
    <row r="113" spans="1:5" x14ac:dyDescent="0.2">
      <c r="A113" s="84" t="str">
        <f>'[1]Beschr-Descr.'!A50</f>
        <v>Indennità di maternità quota INPS 80,00%</v>
      </c>
      <c r="B113" s="84"/>
      <c r="C113" s="84">
        <f>'[1]Beschr-Descr.'!C50</f>
        <v>0</v>
      </c>
      <c r="D113" s="84">
        <f>'[1]Beschr-Descr.'!D50</f>
        <v>0</v>
      </c>
      <c r="E113" s="207">
        <f>'[1]Beschr-Descr.'!E50</f>
        <v>-0.8</v>
      </c>
    </row>
    <row r="114" spans="1:5" x14ac:dyDescent="0.2">
      <c r="A114" s="84" t="str">
        <f>'[1]Beschr-Descr.'!A51</f>
        <v>Lordizzazione indennità malattia quota INPS</v>
      </c>
      <c r="B114" s="84"/>
      <c r="C114" s="84">
        <f>'[1]Beschr-Descr.'!C51</f>
        <v>0</v>
      </c>
      <c r="D114" s="84">
        <f>'[1]Beschr-Descr.'!D51</f>
        <v>0</v>
      </c>
      <c r="E114" s="207">
        <f>'[1]Beschr-Descr.'!E51</f>
        <v>0.1012</v>
      </c>
    </row>
    <row r="115" spans="1:5" x14ac:dyDescent="0.2">
      <c r="A115" s="84">
        <f>'[1]Beschr-Descr.'!A52</f>
        <v>0</v>
      </c>
      <c r="B115" s="84"/>
      <c r="C115" s="84">
        <f>'[1]Beschr-Descr.'!C52</f>
        <v>0</v>
      </c>
      <c r="D115" s="84">
        <f>'[1]Beschr-Descr.'!D52</f>
        <v>0</v>
      </c>
      <c r="E115" s="207">
        <f>'[1]Beschr-Descr.'!E52</f>
        <v>0</v>
      </c>
    </row>
    <row r="116" spans="1:5" x14ac:dyDescent="0.2">
      <c r="A116" s="84" t="str">
        <f>'[1]Beschr-Descr.'!A53</f>
        <v>13a mensilità</v>
      </c>
      <c r="B116" s="84"/>
      <c r="C116" s="84">
        <f>'[1]Beschr-Descr.'!C53</f>
        <v>0</v>
      </c>
      <c r="D116" s="84">
        <f>'[1]Beschr-Descr.'!D53</f>
        <v>0</v>
      </c>
      <c r="E116" s="207">
        <f>'[1]Beschr-Descr.'!E53</f>
        <v>0</v>
      </c>
    </row>
    <row r="117" spans="1:5" x14ac:dyDescent="0.2">
      <c r="A117" s="84" t="str">
        <f>'[1]Beschr-Descr.'!A54</f>
        <v>14a mensilità</v>
      </c>
      <c r="B117" s="84"/>
      <c r="C117" s="84">
        <f>'[1]Beschr-Descr.'!C54</f>
        <v>0</v>
      </c>
      <c r="D117" s="84">
        <f>'[1]Beschr-Descr.'!D54</f>
        <v>0</v>
      </c>
      <c r="E117" s="207">
        <f>'[1]Beschr-Descr.'!E54</f>
        <v>0</v>
      </c>
    </row>
    <row r="118" spans="1:5" x14ac:dyDescent="0.2">
      <c r="A118" s="84" t="str">
        <f>'[1]Beschr-Descr.'!A55</f>
        <v>Mancato rispetto periodo preavviso licenziamento</v>
      </c>
      <c r="B118" s="84"/>
      <c r="C118" s="84">
        <f>'[1]Beschr-Descr.'!C55</f>
        <v>0</v>
      </c>
      <c r="D118" s="84">
        <f>'[1]Beschr-Descr.'!D55</f>
        <v>0</v>
      </c>
      <c r="E118" s="207">
        <f>'[1]Beschr-Descr.'!E55</f>
        <v>0</v>
      </c>
    </row>
    <row r="119" spans="1:5" x14ac:dyDescent="0.2">
      <c r="A119" s="84" t="str">
        <f>'[1]Beschr-Descr.'!A56</f>
        <v>Una Tantum</v>
      </c>
      <c r="B119" s="84"/>
      <c r="C119" s="84">
        <f>'[1]Beschr-Descr.'!C56</f>
        <v>0</v>
      </c>
      <c r="D119" s="84">
        <f>'[1]Beschr-Descr.'!D56</f>
        <v>0</v>
      </c>
      <c r="E119" s="207">
        <f>'[1]Beschr-Descr.'!E56</f>
        <v>0</v>
      </c>
    </row>
    <row r="120" spans="1:5" x14ac:dyDescent="0.2">
      <c r="A120" s="84" t="str">
        <f>'[1]Beschr-Descr.'!A57</f>
        <v>Premio</v>
      </c>
      <c r="B120" s="84"/>
      <c r="C120" s="84">
        <f>'[1]Beschr-Descr.'!C57</f>
        <v>0</v>
      </c>
      <c r="D120" s="84">
        <f>'[1]Beschr-Descr.'!D57</f>
        <v>0</v>
      </c>
      <c r="E120" s="207">
        <f>'[1]Beschr-Descr.'!E57</f>
        <v>0</v>
      </c>
    </row>
    <row r="121" spans="1:5" x14ac:dyDescent="0.2">
      <c r="A121" s="84">
        <f>'[1]Beschr-Descr.'!A58</f>
        <v>0</v>
      </c>
      <c r="B121" s="84"/>
      <c r="C121" s="84">
        <f>'[1]Beschr-Descr.'!C58</f>
        <v>0</v>
      </c>
      <c r="D121" s="84">
        <f>'[1]Beschr-Descr.'!D58</f>
        <v>0</v>
      </c>
      <c r="E121" s="207">
        <f>'[1]Beschr-Descr.'!E58</f>
        <v>0</v>
      </c>
    </row>
    <row r="122" spans="1:5" x14ac:dyDescent="0.2">
      <c r="A122">
        <f>'[1]Beschr-Descr.'!A63</f>
        <v>0</v>
      </c>
    </row>
    <row r="123" spans="1:5" x14ac:dyDescent="0.2">
      <c r="A123">
        <f>'[1]Beschr-Descr.'!A64</f>
        <v>0</v>
      </c>
    </row>
    <row r="124" spans="1:5" x14ac:dyDescent="0.2">
      <c r="A124">
        <f>'[1]Beschr-Descr.'!A65</f>
        <v>0</v>
      </c>
    </row>
    <row r="125" spans="1:5" x14ac:dyDescent="0.2">
      <c r="A125">
        <f>'[1]Beschr-Descr.'!A66</f>
        <v>0</v>
      </c>
    </row>
    <row r="126" spans="1:5" x14ac:dyDescent="0.2">
      <c r="A126">
        <f>'[1]Beschr-Descr.'!A67</f>
        <v>0</v>
      </c>
    </row>
    <row r="127" spans="1:5" x14ac:dyDescent="0.2">
      <c r="A127">
        <f>'[1]Beschr-Descr.'!A68</f>
        <v>0</v>
      </c>
    </row>
    <row r="128" spans="1:5" x14ac:dyDescent="0.2">
      <c r="A128">
        <f>'[1]Beschr-Descr.'!A69</f>
        <v>0</v>
      </c>
    </row>
    <row r="129" spans="1:1" x14ac:dyDescent="0.2">
      <c r="A129">
        <f>'[1]Beschr-Descr.'!A70</f>
        <v>0</v>
      </c>
    </row>
    <row r="130" spans="1:1" x14ac:dyDescent="0.2">
      <c r="A130">
        <f>'[1]Beschr-Descr.'!A71</f>
        <v>0</v>
      </c>
    </row>
    <row r="131" spans="1:1" x14ac:dyDescent="0.2">
      <c r="A131">
        <f>'[1]Beschr-Descr.'!A72</f>
        <v>0</v>
      </c>
    </row>
    <row r="132" spans="1:1" x14ac:dyDescent="0.2">
      <c r="A132">
        <f>'[1]Beschr-Descr.'!A73</f>
        <v>0</v>
      </c>
    </row>
    <row r="133" spans="1:1" x14ac:dyDescent="0.2">
      <c r="A133">
        <f>'[1]Beschr-Descr.'!A74</f>
        <v>0</v>
      </c>
    </row>
    <row r="134" spans="1:1" x14ac:dyDescent="0.2">
      <c r="A134">
        <f>'[1]Beschr-Descr.'!A75</f>
        <v>0</v>
      </c>
    </row>
    <row r="135" spans="1:1" x14ac:dyDescent="0.2">
      <c r="A135">
        <f>'[1]Beschr-Descr.'!A76</f>
        <v>0</v>
      </c>
    </row>
    <row r="136" spans="1:1" x14ac:dyDescent="0.2">
      <c r="A136">
        <f>'[1]Beschr-Descr.'!A77</f>
        <v>0</v>
      </c>
    </row>
    <row r="137" spans="1:1" x14ac:dyDescent="0.2">
      <c r="A137">
        <f>'[1]Beschr-Descr.'!A78</f>
        <v>0</v>
      </c>
    </row>
    <row r="138" spans="1:1" x14ac:dyDescent="0.2">
      <c r="A138">
        <f>'[1]Beschr-Descr.'!A79</f>
        <v>0</v>
      </c>
    </row>
    <row r="139" spans="1:1" x14ac:dyDescent="0.2">
      <c r="A139">
        <f>'[1]Beschr-Descr.'!A80</f>
        <v>0</v>
      </c>
    </row>
    <row r="140" spans="1:1" x14ac:dyDescent="0.2">
      <c r="A140">
        <f>'[1]Beschr-Descr.'!A81</f>
        <v>0</v>
      </c>
    </row>
    <row r="141" spans="1:1" x14ac:dyDescent="0.2">
      <c r="A141">
        <f>'[1]Beschr-Descr.'!A82</f>
        <v>0</v>
      </c>
    </row>
    <row r="142" spans="1:1" x14ac:dyDescent="0.2">
      <c r="A142">
        <f>'[1]Beschr-Descr.'!A83</f>
        <v>0</v>
      </c>
    </row>
    <row r="143" spans="1:1" x14ac:dyDescent="0.2">
      <c r="A143">
        <f>'[1]Beschr-Descr.'!A84</f>
        <v>0</v>
      </c>
    </row>
    <row r="144" spans="1:1" x14ac:dyDescent="0.2">
      <c r="A144">
        <f>'[1]Beschr-Descr.'!A85</f>
        <v>0</v>
      </c>
    </row>
    <row r="145" spans="1:1" x14ac:dyDescent="0.2">
      <c r="A145">
        <f>'[1]Beschr-Descr.'!A86</f>
        <v>0</v>
      </c>
    </row>
    <row r="146" spans="1:1" x14ac:dyDescent="0.2">
      <c r="A146">
        <f>'[1]Beschr-Descr.'!A87</f>
        <v>0</v>
      </c>
    </row>
    <row r="147" spans="1:1" x14ac:dyDescent="0.2">
      <c r="A147">
        <f>'[1]Beschr-Descr.'!A88</f>
        <v>0</v>
      </c>
    </row>
    <row r="148" spans="1:1" x14ac:dyDescent="0.2">
      <c r="A148">
        <f>'[1]Beschr-Descr.'!A89</f>
        <v>0</v>
      </c>
    </row>
    <row r="149" spans="1:1" x14ac:dyDescent="0.2">
      <c r="A149">
        <f>'[1]Beschr-Descr.'!A90</f>
        <v>0</v>
      </c>
    </row>
    <row r="150" spans="1:1" x14ac:dyDescent="0.2">
      <c r="A150">
        <f>'[1]Beschr-Descr.'!A91</f>
        <v>0</v>
      </c>
    </row>
    <row r="151" spans="1:1" x14ac:dyDescent="0.2">
      <c r="A151">
        <f>'[1]Beschr-Descr.'!A92</f>
        <v>0</v>
      </c>
    </row>
    <row r="152" spans="1:1" x14ac:dyDescent="0.2">
      <c r="A152">
        <f>'[1]Beschr-Descr.'!A93</f>
        <v>0</v>
      </c>
    </row>
    <row r="153" spans="1:1" x14ac:dyDescent="0.2">
      <c r="A153">
        <f>'[1]Beschr-Descr.'!A94</f>
        <v>0</v>
      </c>
    </row>
    <row r="154" spans="1:1" x14ac:dyDescent="0.2">
      <c r="A154">
        <f>'[1]Beschr-Descr.'!A95</f>
        <v>0</v>
      </c>
    </row>
    <row r="155" spans="1:1" x14ac:dyDescent="0.2">
      <c r="A155">
        <f>'[1]Beschr-Descr.'!A96</f>
        <v>0</v>
      </c>
    </row>
    <row r="156" spans="1:1" x14ac:dyDescent="0.2">
      <c r="A156">
        <f>'[1]Beschr-Descr.'!A97</f>
        <v>0</v>
      </c>
    </row>
    <row r="157" spans="1:1" x14ac:dyDescent="0.2">
      <c r="A157">
        <f>'[1]Beschr-Descr.'!A98</f>
        <v>0</v>
      </c>
    </row>
    <row r="158" spans="1:1" x14ac:dyDescent="0.2">
      <c r="A158">
        <f>'[1]Beschr-Descr.'!A99</f>
        <v>0</v>
      </c>
    </row>
    <row r="159" spans="1:1" x14ac:dyDescent="0.2">
      <c r="A159">
        <f>'[1]Beschr-Descr.'!A100</f>
        <v>0</v>
      </c>
    </row>
    <row r="160" spans="1:1" x14ac:dyDescent="0.2">
      <c r="A160">
        <f>'[1]Beschr-Descr.'!A101</f>
        <v>0</v>
      </c>
    </row>
    <row r="161" spans="1:1" x14ac:dyDescent="0.2">
      <c r="A161">
        <f>'[1]Beschr-Descr.'!A102</f>
        <v>0</v>
      </c>
    </row>
  </sheetData>
  <mergeCells count="70">
    <mergeCell ref="L50:L51"/>
    <mergeCell ref="N60:O60"/>
    <mergeCell ref="J54:O54"/>
    <mergeCell ref="J57:O57"/>
    <mergeCell ref="N55:O55"/>
    <mergeCell ref="N56:O56"/>
    <mergeCell ref="N58:O58"/>
    <mergeCell ref="N59:O59"/>
    <mergeCell ref="U53:U54"/>
    <mergeCell ref="S53:S54"/>
    <mergeCell ref="T53:T54"/>
    <mergeCell ref="E13:F13"/>
    <mergeCell ref="E14:F14"/>
    <mergeCell ref="E15:F15"/>
    <mergeCell ref="E16:F16"/>
    <mergeCell ref="E18:F18"/>
    <mergeCell ref="E47:F47"/>
    <mergeCell ref="E43:F43"/>
    <mergeCell ref="E45:F45"/>
    <mergeCell ref="T41:T43"/>
    <mergeCell ref="U41:U43"/>
    <mergeCell ref="N50:N51"/>
    <mergeCell ref="O50:O51"/>
    <mergeCell ref="J52:O52"/>
    <mergeCell ref="E3:F3"/>
    <mergeCell ref="E7:F7"/>
    <mergeCell ref="E5:F5"/>
    <mergeCell ref="E8:F8"/>
    <mergeCell ref="Q53:R53"/>
    <mergeCell ref="E12:F12"/>
    <mergeCell ref="Q5:S6"/>
    <mergeCell ref="Q7:S8"/>
    <mergeCell ref="Q10:S11"/>
    <mergeCell ref="E9:F9"/>
    <mergeCell ref="E11:F11"/>
    <mergeCell ref="Q41:R42"/>
    <mergeCell ref="S41:S43"/>
    <mergeCell ref="E49:F49"/>
    <mergeCell ref="K50:K51"/>
    <mergeCell ref="M50:M51"/>
    <mergeCell ref="A19:C19"/>
    <mergeCell ref="A20:C20"/>
    <mergeCell ref="A24:C24"/>
    <mergeCell ref="A25:C25"/>
    <mergeCell ref="A22:C22"/>
    <mergeCell ref="A21:C21"/>
    <mergeCell ref="A23:C23"/>
    <mergeCell ref="A26:C26"/>
    <mergeCell ref="A27:C27"/>
    <mergeCell ref="E51:F51"/>
    <mergeCell ref="E52:F52"/>
    <mergeCell ref="E46:F46"/>
    <mergeCell ref="E48:F48"/>
    <mergeCell ref="E50:F50"/>
    <mergeCell ref="A28:C28"/>
    <mergeCell ref="E44:F44"/>
    <mergeCell ref="E59:F59"/>
    <mergeCell ref="E54:F54"/>
    <mergeCell ref="E58:F58"/>
    <mergeCell ref="E56:F56"/>
    <mergeCell ref="E57:F57"/>
    <mergeCell ref="E55:F55"/>
    <mergeCell ref="J1:O1"/>
    <mergeCell ref="J8:O9"/>
    <mergeCell ref="J10:J18"/>
    <mergeCell ref="K10:K18"/>
    <mergeCell ref="M10:M18"/>
    <mergeCell ref="N10:N18"/>
    <mergeCell ref="O10:O18"/>
    <mergeCell ref="L10:L18"/>
  </mergeCells>
  <phoneticPr fontId="2" type="noConversion"/>
  <dataValidations count="2">
    <dataValidation type="list" allowBlank="1" showInputMessage="1" showErrorMessage="1" sqref="E19:E28" xr:uid="{00000000-0002-0000-0500-000000000000}">
      <formula1>$F$67:$F$70</formula1>
    </dataValidation>
    <dataValidation type="list" allowBlank="1" showInputMessage="1" showErrorMessage="1" sqref="A19:C28" xr:uid="{00000000-0002-0000-0500-000001000000}">
      <formula1>$A$67:$A$149</formula1>
    </dataValidation>
  </dataValidations>
  <printOptions horizontalCentered="1" verticalCentered="1"/>
  <pageMargins left="0.19685039370078741" right="0.19685039370078741" top="0.39370078740157483" bottom="0.39370078740157483" header="0" footer="0.19685039370078741"/>
  <pageSetup paperSize="9" orientation="portrait" r:id="rId1"/>
  <headerFooter alignWithMargins="0">
    <oddFooter>&amp;C&amp;"Calibri,Standard"Lohnberechnung FRINO PRO 2017 von Dr. Friedrich Nöckler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7172" r:id="rId4" name="Drop Down 4">
              <controlPr defaultSize="0" print="0" autoLine="0" autoPict="0">
                <anchor moveWithCells="1">
                  <from>
                    <xdr:col>5</xdr:col>
                    <xdr:colOff>381000</xdr:colOff>
                    <xdr:row>2</xdr:row>
                    <xdr:rowOff>19050</xdr:rowOff>
                  </from>
                  <to>
                    <xdr:col>8</xdr:col>
                    <xdr:colOff>514350</xdr:colOff>
                    <xdr:row>3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7"/>
  <dimension ref="A1:Z161"/>
  <sheetViews>
    <sheetView showGridLines="0" showZeros="0" workbookViewId="0"/>
  </sheetViews>
  <sheetFormatPr baseColWidth="10" defaultRowHeight="12.75" x14ac:dyDescent="0.2"/>
  <cols>
    <col min="1" max="1" width="11.28515625" customWidth="1"/>
    <col min="2" max="2" width="11.7109375" customWidth="1"/>
    <col min="3" max="3" width="10.85546875" customWidth="1"/>
    <col min="4" max="4" width="11.28515625" customWidth="1"/>
    <col min="5" max="5" width="5.42578125" customWidth="1"/>
    <col min="6" max="6" width="6" customWidth="1"/>
    <col min="7" max="7" width="11.140625" customWidth="1"/>
    <col min="8" max="8" width="9.85546875" customWidth="1"/>
    <col min="9" max="9" width="9.140625" customWidth="1"/>
    <col min="10" max="10" width="2.5703125" style="277" customWidth="1"/>
    <col min="11" max="15" width="2.140625" customWidth="1"/>
    <col min="16" max="16" width="2.28515625" customWidth="1"/>
    <col min="17" max="17" width="11.28515625" customWidth="1"/>
    <col min="18" max="18" width="10.7109375" customWidth="1"/>
    <col min="19" max="19" width="11.85546875" customWidth="1"/>
    <col min="21" max="21" width="12" customWidth="1"/>
    <col min="22" max="24" width="10.7109375" customWidth="1"/>
  </cols>
  <sheetData>
    <row r="1" spans="1:26" s="144" customFormat="1" ht="16.5" customHeight="1" x14ac:dyDescent="0.2">
      <c r="A1" s="316" t="s">
        <v>106</v>
      </c>
      <c r="B1" s="317"/>
      <c r="C1" s="317"/>
      <c r="D1" s="317"/>
      <c r="E1" s="317"/>
      <c r="F1" s="317"/>
      <c r="G1" s="317"/>
      <c r="H1" s="317"/>
      <c r="I1" s="318" t="s">
        <v>47</v>
      </c>
      <c r="J1" s="584" t="str">
        <f>[1]Firma!$A$16</f>
        <v>14. M.</v>
      </c>
      <c r="K1" s="584"/>
      <c r="L1" s="584"/>
      <c r="M1" s="584"/>
      <c r="N1" s="584"/>
      <c r="O1" s="585"/>
      <c r="P1" s="143"/>
      <c r="Q1" s="143"/>
      <c r="R1" s="143"/>
      <c r="S1" s="143"/>
      <c r="T1" s="143"/>
      <c r="U1" s="143"/>
      <c r="V1" s="143"/>
      <c r="W1" s="143"/>
      <c r="X1" s="143"/>
      <c r="Y1" s="143"/>
      <c r="Z1" s="143"/>
    </row>
    <row r="2" spans="1:26" s="124" customFormat="1" ht="12.75" customHeight="1" x14ac:dyDescent="0.2">
      <c r="A2" s="199" t="s">
        <v>107</v>
      </c>
      <c r="B2" s="200"/>
      <c r="C2" s="200"/>
      <c r="D2" s="201"/>
      <c r="E2" s="188" t="s">
        <v>132</v>
      </c>
      <c r="F2" s="202"/>
      <c r="G2" s="200"/>
      <c r="H2" s="200"/>
      <c r="I2" s="203"/>
      <c r="J2" s="302"/>
      <c r="K2" s="201"/>
      <c r="L2" s="201"/>
      <c r="M2" s="201"/>
      <c r="N2" s="200"/>
      <c r="O2" s="303"/>
      <c r="P2" s="121"/>
      <c r="Q2" s="121"/>
      <c r="R2" s="121"/>
      <c r="S2" s="121"/>
      <c r="T2" s="121"/>
      <c r="U2" s="121"/>
      <c r="V2" s="121"/>
      <c r="W2" s="121"/>
      <c r="X2" s="121"/>
      <c r="Y2" s="121"/>
      <c r="Z2" s="121"/>
    </row>
    <row r="3" spans="1:26" ht="16.899999999999999" customHeight="1" x14ac:dyDescent="0.2">
      <c r="A3" s="88" t="s">
        <v>100</v>
      </c>
      <c r="B3" s="83" t="str">
        <f>[1]Firma!$A$4</f>
        <v>Asues GmbH</v>
      </c>
      <c r="C3" s="1"/>
      <c r="D3" s="1"/>
      <c r="E3" s="555" t="s">
        <v>126</v>
      </c>
      <c r="F3" s="556"/>
      <c r="G3" s="1" t="str">
        <f>VLOOKUP(P3,'[1]Mit-1'!$A$5:$B$19,2,FALSE)</f>
        <v>AAAAA BBBBB</v>
      </c>
      <c r="H3" s="1"/>
      <c r="I3" s="2"/>
      <c r="J3" s="304"/>
      <c r="K3" s="72"/>
      <c r="L3" s="72"/>
      <c r="M3" s="72"/>
      <c r="N3" s="72"/>
      <c r="O3" s="134"/>
      <c r="P3" s="72">
        <v>1</v>
      </c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0.5" customHeight="1" x14ac:dyDescent="0.2">
      <c r="A4" s="87" t="s">
        <v>101</v>
      </c>
      <c r="B4" s="3" t="str">
        <f>[1]Firma!$B$4</f>
        <v>Josef-Ferrari-Straße 12; 39031 Bruneck (BZ)</v>
      </c>
      <c r="C4" s="3"/>
      <c r="D4" s="3"/>
      <c r="E4" s="187" t="s">
        <v>127</v>
      </c>
      <c r="G4" s="30" t="str">
        <f>VLOOKUP($P$3,'[1]Mit-1'!$A$5:$U$19,3,FALSE)</f>
        <v>Michael-Pacher-Straße 10, 39031 Bruneck</v>
      </c>
      <c r="I4" s="134"/>
      <c r="N4" s="1"/>
      <c r="O4" s="2"/>
      <c r="P4" s="1"/>
      <c r="V4" s="1"/>
      <c r="W4" s="1"/>
      <c r="X4" s="1"/>
      <c r="Y4" s="1"/>
      <c r="Z4" s="1"/>
    </row>
    <row r="5" spans="1:26" ht="16.899999999999999" customHeight="1" x14ac:dyDescent="0.2">
      <c r="A5" s="88" t="s">
        <v>102</v>
      </c>
      <c r="B5" s="288" t="str">
        <f>[1]Firma!$C$4</f>
        <v>IT09997110213</v>
      </c>
      <c r="C5" s="3"/>
      <c r="D5" s="3"/>
      <c r="E5" s="555" t="s">
        <v>103</v>
      </c>
      <c r="F5" s="556"/>
      <c r="G5" s="30" t="str">
        <f>VLOOKUP($P$3,'[1]Mit-1'!$A$5:$U$19,6,FALSE)</f>
        <v>AAABBB84B11B220G</v>
      </c>
      <c r="I5" s="2"/>
      <c r="K5" s="1"/>
      <c r="L5" s="1"/>
      <c r="M5" s="1"/>
      <c r="N5" s="1"/>
      <c r="O5" s="2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6.899999999999999" customHeight="1" x14ac:dyDescent="0.2">
      <c r="A6" s="88" t="s">
        <v>103</v>
      </c>
      <c r="B6" s="288" t="str">
        <f>[1]Firma!$D$4</f>
        <v>09997110213</v>
      </c>
      <c r="C6" s="3"/>
      <c r="D6" s="3"/>
      <c r="E6" s="187" t="s">
        <v>128</v>
      </c>
      <c r="G6" s="149">
        <f>VLOOKUP($P$3,'[1]Mit-1'!$A$28:$C$42,3,FALSE)</f>
        <v>1</v>
      </c>
      <c r="H6" s="89" t="s">
        <v>9</v>
      </c>
      <c r="I6" s="54">
        <f>VLOOKUP($P$3,'[1]Mit-1'!$A$5:$U$19,7,FALSE)</f>
        <v>45597</v>
      </c>
      <c r="N6" s="1"/>
      <c r="O6" s="2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16.899999999999999" customHeight="1" x14ac:dyDescent="0.2">
      <c r="A7" s="87" t="s">
        <v>104</v>
      </c>
      <c r="B7" s="288" t="str">
        <f>[1]Firma!$E$4</f>
        <v>1420030006</v>
      </c>
      <c r="C7" s="3"/>
      <c r="D7" s="3"/>
      <c r="E7" s="555" t="s">
        <v>129</v>
      </c>
      <c r="F7" s="556"/>
      <c r="G7" s="36">
        <f>VLOOKUP($P$3,'[1]Mit-1'!$A$5:$U$19,4,FALSE)</f>
        <v>30723</v>
      </c>
      <c r="H7" s="90" t="s">
        <v>10</v>
      </c>
      <c r="I7" s="53" t="str">
        <f>VLOOKUP($P$3,'[1]Mit-1'!$A$5:$U$19,5,FALSE)</f>
        <v>Bruneck</v>
      </c>
      <c r="N7" s="1"/>
      <c r="O7" s="2"/>
      <c r="P7" s="1"/>
      <c r="R7" s="1"/>
      <c r="S7" s="1"/>
      <c r="T7" s="1"/>
      <c r="U7" s="1"/>
      <c r="V7" s="1"/>
      <c r="W7" s="1"/>
      <c r="X7" s="1"/>
      <c r="Y7" s="1"/>
      <c r="Z7" s="1"/>
    </row>
    <row r="8" spans="1:26" ht="16.899999999999999" customHeight="1" x14ac:dyDescent="0.2">
      <c r="A8" s="87" t="s">
        <v>105</v>
      </c>
      <c r="B8" s="288" t="str">
        <f>[1]Firma!$F$4</f>
        <v>13625</v>
      </c>
      <c r="C8" s="3"/>
      <c r="D8" s="3"/>
      <c r="E8" s="555" t="s">
        <v>130</v>
      </c>
      <c r="F8" s="556"/>
      <c r="G8" s="149">
        <f>VLOOKUP($P$3,'[1]Mit-2'!$A$5:$P$19,6,FALSE)</f>
        <v>2</v>
      </c>
      <c r="H8" s="91" t="s">
        <v>231</v>
      </c>
      <c r="I8" s="150">
        <f>VLOOKUP($P$3,'[1]Mit-2'!$A$46:$AD$60,20,FALSE)</f>
        <v>0</v>
      </c>
      <c r="J8" s="475" t="s">
        <v>226</v>
      </c>
      <c r="K8" s="476"/>
      <c r="L8" s="476"/>
      <c r="M8" s="476"/>
      <c r="N8" s="476"/>
      <c r="O8" s="477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6.899999999999999" customHeight="1" x14ac:dyDescent="0.2">
      <c r="A9" s="135"/>
      <c r="B9" s="72"/>
      <c r="C9" s="72"/>
      <c r="D9" s="72"/>
      <c r="E9" s="555" t="s">
        <v>131</v>
      </c>
      <c r="F9" s="556"/>
      <c r="G9" s="447">
        <f>VLOOKUP($P$3,'[1]Mit-2'!$A$5:$AD$19,20,FALSE)</f>
        <v>100</v>
      </c>
      <c r="H9" s="90" t="s">
        <v>232</v>
      </c>
      <c r="I9" s="129"/>
      <c r="J9" s="478"/>
      <c r="K9" s="479"/>
      <c r="L9" s="479"/>
      <c r="M9" s="479"/>
      <c r="N9" s="479"/>
      <c r="O9" s="480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10.9" customHeight="1" x14ac:dyDescent="0.2">
      <c r="A10" s="189" t="s">
        <v>108</v>
      </c>
      <c r="B10" s="26"/>
      <c r="C10" s="26"/>
      <c r="D10" s="26"/>
      <c r="E10" s="26"/>
      <c r="F10" s="26"/>
      <c r="G10" s="26"/>
      <c r="H10" s="26"/>
      <c r="I10" s="190"/>
      <c r="J10" s="481" t="s">
        <v>227</v>
      </c>
      <c r="K10" s="484" t="s">
        <v>228</v>
      </c>
      <c r="L10" s="487" t="s">
        <v>229</v>
      </c>
      <c r="M10" s="487" t="s">
        <v>264</v>
      </c>
      <c r="N10" s="487" t="s">
        <v>265</v>
      </c>
      <c r="O10" s="557" t="s">
        <v>266</v>
      </c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s="94" customFormat="1" ht="13.9" customHeight="1" x14ac:dyDescent="0.15">
      <c r="A11" s="181" t="s">
        <v>16</v>
      </c>
      <c r="B11" s="182" t="s">
        <v>11</v>
      </c>
      <c r="C11" s="182" t="s">
        <v>12</v>
      </c>
      <c r="D11" s="182" t="s">
        <v>13</v>
      </c>
      <c r="E11" s="544" t="s">
        <v>14</v>
      </c>
      <c r="F11" s="545"/>
      <c r="G11" s="182" t="s">
        <v>15</v>
      </c>
      <c r="H11" s="183" t="s">
        <v>218</v>
      </c>
      <c r="I11" s="186"/>
      <c r="J11" s="482"/>
      <c r="K11" s="485"/>
      <c r="L11" s="488"/>
      <c r="M11" s="488"/>
      <c r="N11" s="488"/>
      <c r="O11" s="558"/>
      <c r="P11" s="93"/>
      <c r="Q11" s="93"/>
      <c r="R11" s="93"/>
      <c r="S11" s="93"/>
      <c r="T11" s="93"/>
      <c r="U11" s="93"/>
      <c r="V11" s="93"/>
      <c r="W11" s="93"/>
      <c r="X11" s="93"/>
      <c r="Y11" s="93"/>
      <c r="Z11" s="93"/>
    </row>
    <row r="12" spans="1:26" x14ac:dyDescent="0.2">
      <c r="A12" s="171">
        <f>VLOOKUP($G$8,'[1]Lohntab-Tab-retr.'!$A$7:$O$15,8,FALSE)</f>
        <v>1477.83</v>
      </c>
      <c r="B12" s="172">
        <f>VLOOKUP($G$8,'[1]Lohntab-Tab-retr.'!$A$21:$O$29,8,FALSE)</f>
        <v>532.54</v>
      </c>
      <c r="C12" s="172">
        <f>I8*VLOOKUP($G$8,'[1]Lohntab-Tab-retr.'!$A$63:$O$71,8,FALSE)</f>
        <v>0</v>
      </c>
      <c r="D12" s="172">
        <f>VLOOKUP($G$8,'[1]Lohntab-Tab-retr.'!$A$35:$O$43,8,FALSE)</f>
        <v>0</v>
      </c>
      <c r="E12" s="560">
        <f>VLOOKUP($G$8,'[1]Lohntab-Tab-retr.'!$A$49:$O$57,8,FALSE)</f>
        <v>8</v>
      </c>
      <c r="F12" s="560"/>
      <c r="G12" s="172">
        <f>VLOOKUP($P$3,'[1]Mit-2'!$A$24:$P$38,9,FALSE)</f>
        <v>0</v>
      </c>
      <c r="H12" s="172">
        <f>VLOOKUP($G$8,'[1]Lohntab-Tab-retr.'!$A$77:$O$85,8,FALSE)</f>
        <v>0</v>
      </c>
      <c r="I12" s="173"/>
      <c r="J12" s="482"/>
      <c r="K12" s="485"/>
      <c r="L12" s="488"/>
      <c r="M12" s="488"/>
      <c r="N12" s="488"/>
      <c r="O12" s="558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s="94" customFormat="1" ht="13.9" customHeight="1" x14ac:dyDescent="0.15">
      <c r="A13" s="168" t="s">
        <v>17</v>
      </c>
      <c r="B13" s="169" t="s">
        <v>18</v>
      </c>
      <c r="C13" s="169" t="s">
        <v>19</v>
      </c>
      <c r="D13" s="169" t="s">
        <v>20</v>
      </c>
      <c r="E13" s="561" t="s">
        <v>24</v>
      </c>
      <c r="F13" s="562"/>
      <c r="G13" s="169" t="s">
        <v>23</v>
      </c>
      <c r="H13" s="170" t="s">
        <v>21</v>
      </c>
      <c r="I13" s="177" t="s">
        <v>22</v>
      </c>
      <c r="J13" s="482"/>
      <c r="K13" s="485"/>
      <c r="L13" s="488"/>
      <c r="M13" s="488"/>
      <c r="N13" s="488"/>
      <c r="O13" s="558"/>
      <c r="P13" s="93"/>
      <c r="Q13" s="93"/>
      <c r="R13" s="93"/>
      <c r="S13" s="93"/>
      <c r="T13" s="93"/>
      <c r="U13" s="93"/>
      <c r="V13" s="93"/>
      <c r="W13" s="93"/>
      <c r="X13" s="93"/>
      <c r="Y13" s="93"/>
      <c r="Z13" s="93"/>
    </row>
    <row r="14" spans="1:26" x14ac:dyDescent="0.2">
      <c r="A14" s="178">
        <f>[1]Tab!G140</f>
        <v>168</v>
      </c>
      <c r="B14" s="240">
        <f>[1]Tab!G141</f>
        <v>26</v>
      </c>
      <c r="C14" s="179">
        <f>ROUND(I14/A14,5)</f>
        <v>12.014110000000001</v>
      </c>
      <c r="D14" s="179">
        <f>ROUND(I14/B14,5)</f>
        <v>77.629620000000003</v>
      </c>
      <c r="E14" s="587"/>
      <c r="F14" s="587"/>
      <c r="G14" s="148"/>
      <c r="H14" s="148"/>
      <c r="I14" s="180">
        <f>SUM(A12:I12)</f>
        <v>2018.37</v>
      </c>
      <c r="J14" s="482"/>
      <c r="K14" s="485"/>
      <c r="L14" s="488"/>
      <c r="M14" s="488"/>
      <c r="N14" s="488"/>
      <c r="O14" s="558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</row>
    <row r="15" spans="1:26" s="94" customFormat="1" ht="13.9" customHeight="1" x14ac:dyDescent="0.15">
      <c r="A15" s="174" t="s">
        <v>26</v>
      </c>
      <c r="B15" s="175" t="s">
        <v>27</v>
      </c>
      <c r="C15" s="175" t="s">
        <v>25</v>
      </c>
      <c r="D15" s="146"/>
      <c r="E15" s="588"/>
      <c r="F15" s="589"/>
      <c r="G15" s="146"/>
      <c r="H15" s="146"/>
      <c r="I15" s="176"/>
      <c r="J15" s="482"/>
      <c r="K15" s="485"/>
      <c r="L15" s="488"/>
      <c r="M15" s="488"/>
      <c r="N15" s="488"/>
      <c r="O15" s="558"/>
      <c r="P15" s="93"/>
      <c r="Q15" s="93"/>
      <c r="R15" s="93"/>
      <c r="S15" s="93"/>
      <c r="T15" s="93"/>
      <c r="U15" s="93"/>
      <c r="V15" s="93"/>
      <c r="W15" s="93"/>
      <c r="X15" s="93"/>
      <c r="Y15" s="93"/>
      <c r="Z15" s="93"/>
    </row>
    <row r="16" spans="1:26" x14ac:dyDescent="0.2">
      <c r="A16" s="441"/>
      <c r="B16" s="443"/>
      <c r="C16" s="184"/>
      <c r="D16" s="442"/>
      <c r="E16" s="586"/>
      <c r="F16" s="586"/>
      <c r="G16" s="147"/>
      <c r="H16" s="147"/>
      <c r="I16" s="185"/>
      <c r="J16" s="482"/>
      <c r="K16" s="485"/>
      <c r="L16" s="488"/>
      <c r="M16" s="488"/>
      <c r="N16" s="488"/>
      <c r="O16" s="558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</row>
    <row r="17" spans="1:26" ht="3.75" customHeight="1" x14ac:dyDescent="0.2">
      <c r="A17" s="167"/>
      <c r="B17" s="29"/>
      <c r="C17" s="29"/>
      <c r="D17" s="29"/>
      <c r="E17" s="29"/>
      <c r="F17" s="29"/>
      <c r="G17" s="29"/>
      <c r="H17" s="29"/>
      <c r="I17" s="35"/>
      <c r="J17" s="482"/>
      <c r="K17" s="485"/>
      <c r="L17" s="488"/>
      <c r="M17" s="488"/>
      <c r="N17" s="488"/>
      <c r="O17" s="558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s="92" customFormat="1" ht="16.899999999999999" customHeight="1" x14ac:dyDescent="0.15">
      <c r="A18" s="162" t="s">
        <v>28</v>
      </c>
      <c r="B18" s="163"/>
      <c r="C18" s="163"/>
      <c r="D18" s="96"/>
      <c r="E18" s="535" t="s">
        <v>29</v>
      </c>
      <c r="F18" s="536"/>
      <c r="G18" s="99" t="s">
        <v>31</v>
      </c>
      <c r="H18" s="86" t="s">
        <v>30</v>
      </c>
      <c r="I18" s="100" t="s">
        <v>233</v>
      </c>
      <c r="J18" s="483"/>
      <c r="K18" s="486"/>
      <c r="L18" s="489"/>
      <c r="M18" s="489"/>
      <c r="N18" s="489"/>
      <c r="O18" s="559"/>
      <c r="P18" s="97"/>
      <c r="V18" s="98"/>
      <c r="W18" s="98"/>
      <c r="X18" s="98"/>
      <c r="Y18" s="97"/>
      <c r="Z18" s="97"/>
    </row>
    <row r="19" spans="1:26" ht="12" customHeight="1" x14ac:dyDescent="0.2">
      <c r="A19" s="533"/>
      <c r="B19" s="534"/>
      <c r="C19" s="534"/>
      <c r="D19" s="417"/>
      <c r="E19" s="418"/>
      <c r="F19" s="419"/>
      <c r="G19" s="206">
        <f>VLOOKUP(A19,A66:F121,5,FALSE)</f>
        <v>0</v>
      </c>
      <c r="H19" s="308">
        <f>IF(E19="",0,IF(A19="",0,IF(E19="Std-ore",ROUND(C$14+C$14*G19,5),IF(E19="Tage-gg.",ROUND(D$14+D$14*G19,5),IF(E19="Monat-mese",ROUND($I$14+$I$14*G19,2))))))</f>
        <v>0</v>
      </c>
      <c r="I19" s="151">
        <f>ROUND(H19*F19,2)</f>
        <v>0</v>
      </c>
      <c r="J19" s="305">
        <v>1</v>
      </c>
      <c r="K19" s="433"/>
      <c r="L19" s="434"/>
      <c r="M19" s="434"/>
      <c r="N19" s="434"/>
      <c r="O19" s="411"/>
      <c r="P19" s="6"/>
      <c r="V19" s="1"/>
      <c r="W19" s="1"/>
      <c r="X19" s="1"/>
      <c r="Y19" s="7"/>
      <c r="Z19" s="6"/>
    </row>
    <row r="20" spans="1:26" ht="12" customHeight="1" x14ac:dyDescent="0.2">
      <c r="A20" s="526"/>
      <c r="B20" s="527"/>
      <c r="C20" s="527"/>
      <c r="D20" s="420"/>
      <c r="E20" s="421"/>
      <c r="F20" s="422"/>
      <c r="G20" s="206">
        <f>VLOOKUP(A20,A67:F122,5,FALSE)</f>
        <v>0</v>
      </c>
      <c r="H20" s="308">
        <f t="shared" ref="H20:H28" si="0">IF(E20="",0,IF(A20="",0,IF(E20="Std-ore",ROUND(C$14+C$14*G20,5),IF(E20="Tage-gg.",ROUND(D$14+D$14*G20,5),IF(E20="Monat-mese",ROUND($I$14+$I$14*G20,2))))))</f>
        <v>0</v>
      </c>
      <c r="I20" s="152">
        <f t="shared" ref="I20:I28" si="1">IF(A20="Abzug Bruttoberechnung Krankengeld INPS",ROUND(I19*G20,2),ROUND(H20*F20,2))</f>
        <v>0</v>
      </c>
      <c r="J20" s="306">
        <v>2</v>
      </c>
      <c r="K20" s="435"/>
      <c r="L20" s="436"/>
      <c r="M20" s="436"/>
      <c r="N20" s="436"/>
      <c r="O20" s="414"/>
      <c r="P20" s="6"/>
      <c r="V20" s="28"/>
      <c r="W20" s="6"/>
    </row>
    <row r="21" spans="1:26" ht="12" customHeight="1" x14ac:dyDescent="0.2">
      <c r="A21" s="526"/>
      <c r="B21" s="527"/>
      <c r="C21" s="527"/>
      <c r="D21" s="420"/>
      <c r="E21" s="421"/>
      <c r="F21" s="422"/>
      <c r="G21" s="206">
        <f>VLOOKUP(A21,A66:F121,5,FALSE)</f>
        <v>0</v>
      </c>
      <c r="H21" s="308">
        <f t="shared" si="0"/>
        <v>0</v>
      </c>
      <c r="I21" s="152">
        <f>IF(A21="Abzug Bruttoberechnung Krankengeld INPS",ROUND(I18*G21,2),ROUND(H21*F21,2))</f>
        <v>0</v>
      </c>
      <c r="J21" s="306">
        <v>3</v>
      </c>
      <c r="K21" s="435"/>
      <c r="L21" s="436"/>
      <c r="M21" s="436"/>
      <c r="N21" s="436"/>
      <c r="O21" s="414"/>
      <c r="P21" s="6"/>
      <c r="V21" s="28"/>
      <c r="W21" s="6"/>
    </row>
    <row r="22" spans="1:26" ht="12" customHeight="1" x14ac:dyDescent="0.2">
      <c r="A22" s="526"/>
      <c r="B22" s="527"/>
      <c r="C22" s="527"/>
      <c r="D22" s="420"/>
      <c r="E22" s="421"/>
      <c r="F22" s="422"/>
      <c r="G22" s="206">
        <f>VLOOKUP(A22,A67:F122,5,FALSE)</f>
        <v>0</v>
      </c>
      <c r="H22" s="308">
        <f>IF(E22="",0,IF(A22="",0,IF(E22="Std-ore",ROUND(C$14+C$14*G22,5),IF(E22="Tage-gg.",ROUND(D$14+D$14*G22,5),IF(E22="Monat-mese",ROUND($I$14+$I$14*G22,2))))))</f>
        <v>0</v>
      </c>
      <c r="I22" s="152">
        <f>IF(A22="Abzug Bruttoberechnung Krankengeld INPS",ROUND(I19*G22,2),ROUND(H22*F22,2))</f>
        <v>0</v>
      </c>
      <c r="J22" s="306">
        <v>4</v>
      </c>
      <c r="K22" s="435"/>
      <c r="L22" s="436"/>
      <c r="M22" s="436"/>
      <c r="N22" s="436"/>
      <c r="O22" s="414"/>
      <c r="P22" s="6"/>
      <c r="V22" s="28"/>
      <c r="W22" s="6"/>
    </row>
    <row r="23" spans="1:26" ht="12" customHeight="1" x14ac:dyDescent="0.2">
      <c r="A23" s="526"/>
      <c r="B23" s="527"/>
      <c r="C23" s="527"/>
      <c r="D23" s="420"/>
      <c r="E23" s="421"/>
      <c r="F23" s="422"/>
      <c r="G23" s="206">
        <f t="shared" ref="G23:G28" si="2">VLOOKUP(A23,A67:F122,5,FALSE)</f>
        <v>0</v>
      </c>
      <c r="H23" s="308">
        <f>IF(E23="",0,IF(A23="",0,IF(E23="Std-ore",ROUND(C$14+C$14*G23,5),IF(E23="Tage-gg.",ROUND(D$14+D$14*G23,5),IF(E23="Monat-mese",ROUND($I$14+$I$14*G23,2))))))</f>
        <v>0</v>
      </c>
      <c r="I23" s="152">
        <f>IF(A23="Abzug Bruttoberechnung Krankengeld INPS",ROUND(I19*G23,2),ROUND(H23*F23,2))</f>
        <v>0</v>
      </c>
      <c r="J23" s="306">
        <v>5</v>
      </c>
      <c r="K23" s="435"/>
      <c r="L23" s="436"/>
      <c r="M23" s="436"/>
      <c r="N23" s="436"/>
      <c r="O23" s="414"/>
      <c r="P23" s="6"/>
      <c r="V23" s="28"/>
      <c r="W23" s="6"/>
    </row>
    <row r="24" spans="1:26" ht="12" customHeight="1" x14ac:dyDescent="0.2">
      <c r="A24" s="526"/>
      <c r="B24" s="527"/>
      <c r="C24" s="527"/>
      <c r="D24" s="420"/>
      <c r="E24" s="421"/>
      <c r="F24" s="422"/>
      <c r="G24" s="206">
        <f t="shared" si="2"/>
        <v>0</v>
      </c>
      <c r="H24" s="308">
        <f t="shared" si="0"/>
        <v>0</v>
      </c>
      <c r="I24" s="152">
        <f>IF(A24="Abzug Bruttoberechnung Krankengeld INPS",ROUND(I20*G24,2),ROUND(H24*F24,2))</f>
        <v>0</v>
      </c>
      <c r="J24" s="306">
        <v>6</v>
      </c>
      <c r="K24" s="435"/>
      <c r="L24" s="436"/>
      <c r="M24" s="436"/>
      <c r="N24" s="436"/>
      <c r="O24" s="414"/>
      <c r="P24" s="6"/>
      <c r="V24" s="28"/>
      <c r="W24" s="6"/>
    </row>
    <row r="25" spans="1:26" ht="12" customHeight="1" x14ac:dyDescent="0.2">
      <c r="A25" s="526"/>
      <c r="B25" s="527"/>
      <c r="C25" s="527"/>
      <c r="D25" s="420"/>
      <c r="E25" s="421"/>
      <c r="F25" s="422"/>
      <c r="G25" s="206">
        <f t="shared" si="2"/>
        <v>0</v>
      </c>
      <c r="H25" s="308">
        <f t="shared" si="0"/>
        <v>0</v>
      </c>
      <c r="I25" s="152">
        <f t="shared" si="1"/>
        <v>0</v>
      </c>
      <c r="J25" s="306">
        <v>7</v>
      </c>
      <c r="K25" s="435"/>
      <c r="L25" s="436"/>
      <c r="M25" s="436"/>
      <c r="N25" s="436"/>
      <c r="O25" s="414"/>
      <c r="P25" s="6"/>
      <c r="W25" s="6"/>
    </row>
    <row r="26" spans="1:26" ht="12" customHeight="1" x14ac:dyDescent="0.2">
      <c r="A26" s="526"/>
      <c r="B26" s="527"/>
      <c r="C26" s="527"/>
      <c r="D26" s="420"/>
      <c r="E26" s="421"/>
      <c r="F26" s="422"/>
      <c r="G26" s="206">
        <f t="shared" si="2"/>
        <v>0</v>
      </c>
      <c r="H26" s="308">
        <f t="shared" si="0"/>
        <v>0</v>
      </c>
      <c r="I26" s="152">
        <f t="shared" si="1"/>
        <v>0</v>
      </c>
      <c r="J26" s="306">
        <v>8</v>
      </c>
      <c r="K26" s="435"/>
      <c r="L26" s="436"/>
      <c r="M26" s="436"/>
      <c r="N26" s="436"/>
      <c r="O26" s="414"/>
      <c r="P26" s="6"/>
      <c r="W26" s="6"/>
    </row>
    <row r="27" spans="1:26" ht="12" customHeight="1" x14ac:dyDescent="0.2">
      <c r="A27" s="526"/>
      <c r="B27" s="527"/>
      <c r="C27" s="527"/>
      <c r="D27" s="420"/>
      <c r="E27" s="421"/>
      <c r="F27" s="422"/>
      <c r="G27" s="206">
        <f t="shared" si="2"/>
        <v>0</v>
      </c>
      <c r="H27" s="308">
        <f t="shared" si="0"/>
        <v>0</v>
      </c>
      <c r="I27" s="152">
        <f t="shared" si="1"/>
        <v>0</v>
      </c>
      <c r="J27" s="306">
        <v>9</v>
      </c>
      <c r="K27" s="435"/>
      <c r="L27" s="436"/>
      <c r="M27" s="436"/>
      <c r="N27" s="436"/>
      <c r="O27" s="414"/>
      <c r="P27" s="6"/>
    </row>
    <row r="28" spans="1:26" ht="12" customHeight="1" x14ac:dyDescent="0.2">
      <c r="A28" s="526"/>
      <c r="B28" s="527"/>
      <c r="C28" s="527"/>
      <c r="D28" s="420"/>
      <c r="E28" s="421"/>
      <c r="F28" s="422"/>
      <c r="G28" s="206">
        <f t="shared" si="2"/>
        <v>0</v>
      </c>
      <c r="H28" s="308">
        <f t="shared" si="0"/>
        <v>0</v>
      </c>
      <c r="I28" s="152">
        <f t="shared" si="1"/>
        <v>0</v>
      </c>
      <c r="J28" s="306">
        <v>10</v>
      </c>
      <c r="K28" s="435"/>
      <c r="L28" s="436"/>
      <c r="M28" s="436"/>
      <c r="N28" s="436"/>
      <c r="O28" s="414"/>
      <c r="P28" s="6"/>
    </row>
    <row r="29" spans="1:26" ht="12" customHeight="1" x14ac:dyDescent="0.2">
      <c r="A29" s="119" t="s">
        <v>109</v>
      </c>
      <c r="B29" s="57"/>
      <c r="C29" s="57"/>
      <c r="D29" s="57"/>
      <c r="E29" s="57"/>
      <c r="F29" s="58"/>
      <c r="G29" s="57"/>
      <c r="H29" s="57"/>
      <c r="I29" s="154">
        <f>SUM(I19:I28)</f>
        <v>0</v>
      </c>
      <c r="J29" s="306">
        <v>11</v>
      </c>
      <c r="K29" s="435"/>
      <c r="L29" s="436"/>
      <c r="M29" s="436"/>
      <c r="N29" s="437"/>
      <c r="O29" s="416"/>
      <c r="P29" s="9"/>
    </row>
    <row r="30" spans="1:26" ht="12" customHeight="1" x14ac:dyDescent="0.2">
      <c r="A30" s="211" t="s">
        <v>236</v>
      </c>
      <c r="B30" s="55"/>
      <c r="C30" s="59"/>
      <c r="D30" s="59"/>
      <c r="E30" s="59"/>
      <c r="F30" s="102" t="s">
        <v>55</v>
      </c>
      <c r="G30" s="73">
        <f>ROUND(I29,0)</f>
        <v>0</v>
      </c>
      <c r="H30" s="164">
        <v>9.1899999999999996E-2</v>
      </c>
      <c r="I30" s="151">
        <f>-ROUND(G30*H30,2)</f>
        <v>0</v>
      </c>
      <c r="J30" s="306">
        <v>12</v>
      </c>
      <c r="K30" s="435"/>
      <c r="L30" s="436"/>
      <c r="M30" s="436"/>
      <c r="N30" s="436"/>
      <c r="O30" s="414"/>
      <c r="P30" s="1"/>
      <c r="Z30" s="1"/>
    </row>
    <row r="31" spans="1:26" ht="12" customHeight="1" x14ac:dyDescent="0.2">
      <c r="A31" s="104" t="s">
        <v>237</v>
      </c>
      <c r="B31" s="61"/>
      <c r="C31" s="62"/>
      <c r="D31" s="62"/>
      <c r="E31" s="62"/>
      <c r="F31" s="103" t="s">
        <v>55</v>
      </c>
      <c r="G31" s="60">
        <f>ROUND(I29,2)</f>
        <v>0</v>
      </c>
      <c r="H31" s="165">
        <f>VLOOKUP($P$3,'[1]Mit-1'!$A$5:$U$19,19,FALSE)</f>
        <v>1.23E-2</v>
      </c>
      <c r="I31" s="152">
        <f>-ROUND(G31*H31,2)</f>
        <v>0</v>
      </c>
      <c r="J31" s="306">
        <v>13</v>
      </c>
      <c r="K31" s="435"/>
      <c r="L31" s="436"/>
      <c r="M31" s="436"/>
      <c r="N31" s="436"/>
      <c r="O31" s="414"/>
      <c r="P31" s="1"/>
      <c r="Z31" s="1"/>
    </row>
    <row r="32" spans="1:26" ht="12" customHeight="1" x14ac:dyDescent="0.2">
      <c r="A32" s="104" t="s">
        <v>234</v>
      </c>
      <c r="B32" s="61"/>
      <c r="C32" s="62"/>
      <c r="D32" s="62"/>
      <c r="E32" s="62"/>
      <c r="F32" s="103" t="s">
        <v>55</v>
      </c>
      <c r="G32" s="327">
        <f>IF(I29=0,0,IF(R9&gt;0,SUM(A12:B12)/T9*R9,SUM(A12:B12)))</f>
        <v>0</v>
      </c>
      <c r="H32" s="165">
        <f>'[1]Mit-1'!$I$21</f>
        <v>1E-3</v>
      </c>
      <c r="I32" s="152">
        <f>-ROUND(G32*H32,2)</f>
        <v>0</v>
      </c>
      <c r="J32" s="306">
        <v>14</v>
      </c>
      <c r="K32" s="435"/>
      <c r="L32" s="436"/>
      <c r="M32" s="436"/>
      <c r="N32" s="436"/>
      <c r="O32" s="414"/>
      <c r="P32" s="1"/>
      <c r="Z32" s="1"/>
    </row>
    <row r="33" spans="1:26" ht="12" customHeight="1" x14ac:dyDescent="0.2">
      <c r="A33" s="104" t="s">
        <v>235</v>
      </c>
      <c r="B33" s="61"/>
      <c r="C33" s="62"/>
      <c r="D33" s="62"/>
      <c r="E33" s="62"/>
      <c r="F33" s="103" t="s">
        <v>55</v>
      </c>
      <c r="G33" s="60">
        <f>G30</f>
        <v>0</v>
      </c>
      <c r="H33" s="165">
        <f>'[1]Mit-1'!$I$23</f>
        <v>4.0000000000000001E-3</v>
      </c>
      <c r="I33" s="152">
        <f>-ROUND(G33*H33,2)</f>
        <v>0</v>
      </c>
      <c r="J33" s="306">
        <v>15</v>
      </c>
      <c r="K33" s="435"/>
      <c r="L33" s="436"/>
      <c r="M33" s="436"/>
      <c r="N33" s="436"/>
      <c r="O33" s="414"/>
      <c r="P33" s="1"/>
      <c r="Z33" s="1"/>
    </row>
    <row r="34" spans="1:26" ht="12" customHeight="1" x14ac:dyDescent="0.2">
      <c r="A34" s="104" t="s">
        <v>258</v>
      </c>
      <c r="B34" s="61"/>
      <c r="C34" s="62"/>
      <c r="D34" s="62"/>
      <c r="E34" s="62"/>
      <c r="F34" s="394"/>
      <c r="G34" s="52"/>
      <c r="H34" s="395"/>
      <c r="I34" s="152">
        <f>-IF(I29=0,0,'[1]Mit-1'!$I$25)</f>
        <v>0</v>
      </c>
      <c r="J34" s="306">
        <v>16</v>
      </c>
      <c r="K34" s="435"/>
      <c r="L34" s="436"/>
      <c r="M34" s="436"/>
      <c r="N34" s="436"/>
      <c r="O34" s="414"/>
      <c r="P34" s="1"/>
      <c r="Z34" s="1"/>
    </row>
    <row r="35" spans="1:26" ht="12" customHeight="1" x14ac:dyDescent="0.2">
      <c r="A35" s="104" t="s">
        <v>110</v>
      </c>
      <c r="B35" s="10"/>
      <c r="C35" s="10"/>
      <c r="D35" s="10"/>
      <c r="E35" s="10"/>
      <c r="F35" s="10"/>
      <c r="G35" s="11"/>
      <c r="H35" s="63"/>
      <c r="I35" s="152">
        <f ca="1">-SUMIF($A$19:$C$28,"Krankheit INPS-Anteil*",$I$19:$I$28)</f>
        <v>0</v>
      </c>
      <c r="J35" s="306">
        <v>17</v>
      </c>
      <c r="K35" s="435"/>
      <c r="L35" s="436"/>
      <c r="M35" s="436"/>
      <c r="N35" s="436"/>
      <c r="O35" s="414"/>
      <c r="P35" s="6"/>
      <c r="Y35" s="6"/>
      <c r="Z35" s="6"/>
    </row>
    <row r="36" spans="1:26" ht="12" customHeight="1" x14ac:dyDescent="0.2">
      <c r="A36" s="104" t="s">
        <v>111</v>
      </c>
      <c r="B36" s="10"/>
      <c r="C36" s="10"/>
      <c r="D36" s="10"/>
      <c r="E36" s="10"/>
      <c r="F36" s="10"/>
      <c r="G36" s="11"/>
      <c r="H36" s="63"/>
      <c r="I36" s="152">
        <f ca="1">-SUMIF($A$19:$C$28,"Mutterschaft INPS-Anteil*",$I$19:$I$28)</f>
        <v>0</v>
      </c>
      <c r="J36" s="306">
        <v>18</v>
      </c>
      <c r="K36" s="435"/>
      <c r="L36" s="436"/>
      <c r="M36" s="436"/>
      <c r="N36" s="436"/>
      <c r="O36" s="414"/>
      <c r="P36" s="6"/>
      <c r="Y36" s="6"/>
      <c r="Z36" s="6"/>
    </row>
    <row r="37" spans="1:26" ht="12" customHeight="1" x14ac:dyDescent="0.2">
      <c r="A37" s="105" t="s">
        <v>112</v>
      </c>
      <c r="B37" s="10"/>
      <c r="C37" s="10"/>
      <c r="D37" s="10"/>
      <c r="E37" s="10"/>
      <c r="F37" s="10"/>
      <c r="G37" s="11"/>
      <c r="H37" s="27">
        <f>ROUND(IF(I29=0,0,VLOOKUP($P$3,'[1]Mit-1'!$A$5:$U$19,12,FALSE))/12,2)</f>
        <v>0</v>
      </c>
      <c r="I37" s="439"/>
      <c r="J37" s="306">
        <v>19</v>
      </c>
      <c r="K37" s="435"/>
      <c r="L37" s="436"/>
      <c r="M37" s="436"/>
      <c r="N37" s="436"/>
      <c r="O37" s="414"/>
      <c r="P37" s="6"/>
      <c r="Y37" s="6"/>
      <c r="Z37" s="6"/>
    </row>
    <row r="38" spans="1:26" ht="12" customHeight="1" x14ac:dyDescent="0.2">
      <c r="A38" s="107" t="s">
        <v>113</v>
      </c>
      <c r="B38" s="10"/>
      <c r="C38" s="10"/>
      <c r="D38" s="10"/>
      <c r="E38" s="10"/>
      <c r="F38" s="10"/>
      <c r="G38" s="11"/>
      <c r="H38" s="237">
        <f ca="1">IF(SUM(I29:I37)-H37&lt;0,0,SUM(I29:I37)-H37)</f>
        <v>0</v>
      </c>
      <c r="I38" s="160"/>
      <c r="J38" s="306">
        <v>20</v>
      </c>
      <c r="K38" s="435"/>
      <c r="L38" s="436"/>
      <c r="M38" s="436"/>
      <c r="N38" s="436"/>
      <c r="O38" s="414"/>
      <c r="P38" s="6"/>
      <c r="Y38" s="6"/>
      <c r="Z38" s="6"/>
    </row>
    <row r="39" spans="1:26" ht="12" customHeight="1" x14ac:dyDescent="0.2">
      <c r="A39" s="211" t="s">
        <v>143</v>
      </c>
      <c r="B39" s="14"/>
      <c r="C39" s="14"/>
      <c r="D39" s="14"/>
      <c r="E39" s="14"/>
      <c r="F39" s="14"/>
      <c r="G39" s="14"/>
      <c r="H39" s="239">
        <f ca="1">-U50</f>
        <v>0</v>
      </c>
      <c r="I39" s="159"/>
      <c r="J39" s="306">
        <v>21</v>
      </c>
      <c r="K39" s="435"/>
      <c r="L39" s="436"/>
      <c r="M39" s="436"/>
      <c r="N39" s="436"/>
      <c r="O39" s="414"/>
      <c r="P39" s="6"/>
      <c r="R39" s="216"/>
      <c r="V39" s="6"/>
      <c r="W39" s="6"/>
      <c r="X39" s="6"/>
      <c r="Y39" s="6"/>
      <c r="Z39" s="6"/>
    </row>
    <row r="40" spans="1:26" ht="12" customHeight="1" x14ac:dyDescent="0.2">
      <c r="A40" s="104" t="s">
        <v>144</v>
      </c>
      <c r="B40" s="10"/>
      <c r="C40" s="10"/>
      <c r="D40" s="10"/>
      <c r="E40" s="10"/>
      <c r="F40" s="10"/>
      <c r="G40" s="10"/>
      <c r="H40" s="222">
        <f>ROUND(IF(I29=0,0,VLOOKUP($P$3,'[1]Mit-1'!$A$5:$AB$19,13,FALSE)/[1]Firma!$B$24*IF(R9=0,T9,R9)),2)</f>
        <v>0</v>
      </c>
      <c r="I40" s="156"/>
      <c r="J40" s="306">
        <v>22</v>
      </c>
      <c r="K40" s="435"/>
      <c r="L40" s="436"/>
      <c r="M40" s="436"/>
      <c r="N40" s="436"/>
      <c r="O40" s="414"/>
      <c r="P40" s="6"/>
      <c r="Q40" s="220"/>
      <c r="R40" s="216"/>
      <c r="S40" s="217"/>
      <c r="T40" s="218"/>
      <c r="U40" s="219"/>
      <c r="V40" s="6"/>
      <c r="W40" s="6"/>
      <c r="X40" s="6"/>
      <c r="Y40" s="6"/>
      <c r="Z40" s="6"/>
    </row>
    <row r="41" spans="1:26" ht="12" customHeight="1" x14ac:dyDescent="0.2">
      <c r="A41" s="110" t="s">
        <v>145</v>
      </c>
      <c r="B41" s="221"/>
      <c r="C41" s="221"/>
      <c r="D41" s="221"/>
      <c r="E41" s="221"/>
      <c r="F41" s="221"/>
      <c r="G41" s="221"/>
      <c r="H41" s="223"/>
      <c r="I41" s="286"/>
      <c r="J41" s="306">
        <v>23</v>
      </c>
      <c r="K41" s="435"/>
      <c r="L41" s="436"/>
      <c r="M41" s="436"/>
      <c r="N41" s="436"/>
      <c r="O41" s="414"/>
      <c r="P41" s="6"/>
      <c r="Q41" s="492" t="s">
        <v>4</v>
      </c>
      <c r="R41" s="493"/>
      <c r="S41" s="494" t="s">
        <v>7</v>
      </c>
      <c r="T41" s="498" t="s">
        <v>5</v>
      </c>
      <c r="U41" s="490" t="s">
        <v>2</v>
      </c>
      <c r="V41" s="6"/>
      <c r="W41" s="6"/>
      <c r="X41" s="6"/>
      <c r="Y41" s="6"/>
      <c r="Z41" s="6"/>
    </row>
    <row r="42" spans="1:26" ht="12" customHeight="1" x14ac:dyDescent="0.2">
      <c r="A42" s="108" t="s">
        <v>146</v>
      </c>
      <c r="B42" s="64"/>
      <c r="C42" s="64"/>
      <c r="D42" s="64"/>
      <c r="E42" s="64"/>
      <c r="F42" s="64"/>
      <c r="G42" s="64"/>
      <c r="H42" s="65"/>
      <c r="I42" s="157">
        <f ca="1">SUM(H39:H41)</f>
        <v>0</v>
      </c>
      <c r="J42" s="306">
        <v>24</v>
      </c>
      <c r="K42" s="435"/>
      <c r="L42" s="436"/>
      <c r="M42" s="436"/>
      <c r="N42" s="436"/>
      <c r="O42" s="414"/>
      <c r="P42" s="6"/>
      <c r="Q42" s="529"/>
      <c r="R42" s="530"/>
      <c r="S42" s="532"/>
      <c r="T42" s="531"/>
      <c r="U42" s="528"/>
      <c r="V42" s="6"/>
      <c r="W42" s="6"/>
      <c r="X42" s="6"/>
      <c r="Y42" s="6"/>
      <c r="Z42" s="6"/>
    </row>
    <row r="43" spans="1:26" ht="12" customHeight="1" x14ac:dyDescent="0.2">
      <c r="A43" s="106" t="s">
        <v>141</v>
      </c>
      <c r="B43" s="212"/>
      <c r="C43" s="10"/>
      <c r="D43" s="213"/>
      <c r="E43" s="574"/>
      <c r="F43" s="575"/>
      <c r="G43" s="214"/>
      <c r="H43" s="215" t="s">
        <v>33</v>
      </c>
      <c r="I43" s="151"/>
      <c r="J43" s="306">
        <v>25</v>
      </c>
      <c r="K43" s="435"/>
      <c r="L43" s="436"/>
      <c r="M43" s="436"/>
      <c r="N43" s="436"/>
      <c r="O43" s="414"/>
      <c r="P43" s="6"/>
      <c r="Q43" s="81" t="s">
        <v>0</v>
      </c>
      <c r="R43" s="82" t="s">
        <v>1</v>
      </c>
      <c r="S43" s="495"/>
      <c r="T43" s="499"/>
      <c r="U43" s="491"/>
      <c r="V43" s="6"/>
      <c r="W43" s="6"/>
      <c r="X43" s="6"/>
      <c r="Y43" s="6"/>
      <c r="Z43" s="6"/>
    </row>
    <row r="44" spans="1:26" ht="12" customHeight="1" x14ac:dyDescent="0.2">
      <c r="A44" s="104" t="s">
        <v>114</v>
      </c>
      <c r="B44" s="15"/>
      <c r="C44" s="8"/>
      <c r="D44" s="16"/>
      <c r="E44" s="582"/>
      <c r="F44" s="583"/>
      <c r="G44" s="17"/>
      <c r="H44" s="397"/>
      <c r="I44" s="158"/>
      <c r="J44" s="306">
        <v>26</v>
      </c>
      <c r="K44" s="435"/>
      <c r="L44" s="436"/>
      <c r="M44" s="436"/>
      <c r="N44" s="436"/>
      <c r="O44" s="414"/>
      <c r="P44" s="6"/>
      <c r="Q44" s="78">
        <f>[1]Tab!E8</f>
        <v>0</v>
      </c>
      <c r="R44" s="74">
        <f>[1]Tab!F8</f>
        <v>1250</v>
      </c>
      <c r="S44" s="75">
        <f>[1]Tab!G8</f>
        <v>0.23</v>
      </c>
      <c r="T44" s="76">
        <f>ROUND(R44*S44,2)</f>
        <v>287.5</v>
      </c>
      <c r="U44" s="76">
        <f ca="1">ROUND(IF(AND($H$38&lt;=R44,$H$38&gt;0),$H$38*S44,0),2)</f>
        <v>0</v>
      </c>
      <c r="V44" s="6"/>
      <c r="W44" s="6"/>
      <c r="X44" s="6"/>
      <c r="Y44" s="6"/>
      <c r="Z44" s="6"/>
    </row>
    <row r="45" spans="1:26" s="1" customFormat="1" ht="12" customHeight="1" x14ac:dyDescent="0.2">
      <c r="A45" s="110" t="s">
        <v>115</v>
      </c>
      <c r="B45" s="18"/>
      <c r="C45" s="111"/>
      <c r="D45" s="19"/>
      <c r="E45" s="582"/>
      <c r="F45" s="583"/>
      <c r="G45" s="20"/>
      <c r="H45" s="24"/>
      <c r="I45" s="155"/>
      <c r="J45" s="306">
        <v>27</v>
      </c>
      <c r="K45" s="435"/>
      <c r="L45" s="436"/>
      <c r="M45" s="436"/>
      <c r="N45" s="436"/>
      <c r="O45" s="414"/>
      <c r="P45" s="6"/>
      <c r="Q45" s="78">
        <f>[1]Tab!E9</f>
        <v>1250.01</v>
      </c>
      <c r="R45" s="74">
        <f>[1]Tab!F9</f>
        <v>2333.33</v>
      </c>
      <c r="S45" s="75">
        <f>[1]Tab!G9</f>
        <v>0.23</v>
      </c>
      <c r="T45" s="76">
        <f>ROUND((R45-Q45)*S45+T44,2)</f>
        <v>536.66</v>
      </c>
      <c r="U45" s="76">
        <f ca="1">ROUND(IF(AND($H$38&lt;=R45,$H$38&gt;=Q45),T44+($H$38-R44)*S45,0),2)</f>
        <v>0</v>
      </c>
      <c r="V45" s="6"/>
      <c r="W45" s="6"/>
      <c r="X45" s="6"/>
      <c r="Y45" s="6"/>
      <c r="Z45" s="6"/>
    </row>
    <row r="46" spans="1:26" ht="12" customHeight="1" x14ac:dyDescent="0.2">
      <c r="A46" s="101" t="s">
        <v>142</v>
      </c>
      <c r="B46" s="13"/>
      <c r="C46" s="14"/>
      <c r="D46" s="12"/>
      <c r="E46" s="580"/>
      <c r="F46" s="581"/>
      <c r="G46" s="112"/>
      <c r="H46" s="113" t="s">
        <v>33</v>
      </c>
      <c r="I46" s="151"/>
      <c r="J46" s="306">
        <v>28</v>
      </c>
      <c r="K46" s="435"/>
      <c r="L46" s="436"/>
      <c r="M46" s="436"/>
      <c r="N46" s="436"/>
      <c r="O46" s="414"/>
      <c r="P46" s="6"/>
      <c r="Q46" s="78">
        <f>[1]Tab!E10</f>
        <v>2333.34</v>
      </c>
      <c r="R46" s="74">
        <f>[1]Tab!F10</f>
        <v>4166.67</v>
      </c>
      <c r="S46" s="75">
        <f>[1]Tab!G10</f>
        <v>0.35</v>
      </c>
      <c r="T46" s="76">
        <f>ROUND((R46-Q46)*S46+T45,2)</f>
        <v>1178.33</v>
      </c>
      <c r="U46" s="76">
        <f ca="1">ROUND(IF(AND($H$38&lt;=R46,$H$38&gt;=Q46),T45+($H$38-R45)*S46,0),2)</f>
        <v>0</v>
      </c>
      <c r="V46" s="6"/>
      <c r="W46" s="6"/>
      <c r="X46" s="6"/>
      <c r="Y46" s="6"/>
      <c r="Z46" s="6"/>
    </row>
    <row r="47" spans="1:26" ht="12" customHeight="1" x14ac:dyDescent="0.2">
      <c r="A47" s="104" t="s">
        <v>114</v>
      </c>
      <c r="B47" s="15"/>
      <c r="C47" s="8"/>
      <c r="D47" s="16"/>
      <c r="E47" s="582"/>
      <c r="F47" s="583"/>
      <c r="G47" s="17"/>
      <c r="H47" s="397"/>
      <c r="I47" s="152"/>
      <c r="J47" s="306">
        <v>29</v>
      </c>
      <c r="K47" s="435"/>
      <c r="L47" s="436"/>
      <c r="M47" s="436"/>
      <c r="N47" s="436"/>
      <c r="O47" s="414"/>
      <c r="P47" s="1"/>
      <c r="Q47" s="78">
        <f>[1]Tab!E11</f>
        <v>4166.68</v>
      </c>
      <c r="R47" s="74">
        <f>[1]Tab!F11</f>
        <v>0</v>
      </c>
      <c r="S47" s="75">
        <f>[1]Tab!G11</f>
        <v>0.43</v>
      </c>
      <c r="T47" s="76"/>
      <c r="U47" s="76">
        <f ca="1">ROUND(IF(AND($H$38&lt;=R47,$H$38&gt;=Q47),T46+($H$38-R46)*S47,0),2)</f>
        <v>0</v>
      </c>
      <c r="V47" s="1"/>
      <c r="W47" s="1"/>
      <c r="X47" s="1"/>
      <c r="Y47" s="1"/>
      <c r="Z47" s="1"/>
    </row>
    <row r="48" spans="1:26" ht="12" customHeight="1" x14ac:dyDescent="0.2">
      <c r="A48" s="224" t="s">
        <v>115</v>
      </c>
      <c r="B48" s="225"/>
      <c r="C48" s="226"/>
      <c r="D48" s="227"/>
      <c r="E48" s="590"/>
      <c r="F48" s="591"/>
      <c r="G48" s="228"/>
      <c r="H48" s="229"/>
      <c r="I48" s="155"/>
      <c r="J48" s="306">
        <v>30</v>
      </c>
      <c r="K48" s="435"/>
      <c r="L48" s="436"/>
      <c r="M48" s="436"/>
      <c r="N48" s="436"/>
      <c r="O48" s="414"/>
      <c r="P48" s="1"/>
      <c r="Q48" s="78">
        <f>[1]Tab!E12</f>
        <v>0</v>
      </c>
      <c r="R48" s="74"/>
      <c r="S48" s="75">
        <f>[1]Tab!G12</f>
        <v>0</v>
      </c>
      <c r="T48" s="77"/>
      <c r="U48" s="76">
        <f ca="1">ROUND(IF($H$38&gt;R47,T47+($H$38-R47)*S48,0),2)</f>
        <v>0</v>
      </c>
      <c r="V48" s="1"/>
      <c r="W48" s="1"/>
      <c r="X48" s="1"/>
      <c r="Y48" s="1"/>
      <c r="Z48" s="1"/>
    </row>
    <row r="49" spans="1:26" ht="12" customHeight="1" x14ac:dyDescent="0.2">
      <c r="A49" s="110" t="s">
        <v>147</v>
      </c>
      <c r="B49" s="231"/>
      <c r="C49" s="232">
        <f>H48</f>
        <v>0</v>
      </c>
      <c r="D49" s="233">
        <f>ROUND(C49*B49,2)</f>
        <v>0</v>
      </c>
      <c r="E49" s="598"/>
      <c r="F49" s="599"/>
      <c r="G49" s="234"/>
      <c r="H49" s="235"/>
      <c r="I49" s="153"/>
      <c r="J49" s="310">
        <v>31</v>
      </c>
      <c r="K49" s="435"/>
      <c r="L49" s="436"/>
      <c r="M49" s="436"/>
      <c r="N49" s="436"/>
      <c r="O49" s="414"/>
      <c r="P49" s="1"/>
      <c r="Q49" s="78">
        <f>[1]Tab!E13</f>
        <v>0</v>
      </c>
      <c r="R49" s="74"/>
      <c r="S49" s="75">
        <f>[1]Tab!G13</f>
        <v>0</v>
      </c>
      <c r="T49" s="77"/>
      <c r="U49" s="76">
        <f ca="1">ROUND(IF($H$38&gt;R48,T48+($H$38-R48)*S49,0),2)</f>
        <v>0</v>
      </c>
      <c r="V49" s="1"/>
      <c r="W49" s="1"/>
      <c r="X49" s="1"/>
      <c r="Y49" s="1"/>
      <c r="Z49" s="1"/>
    </row>
    <row r="50" spans="1:26" ht="12" customHeight="1" x14ac:dyDescent="0.2">
      <c r="A50" s="109" t="s">
        <v>116</v>
      </c>
      <c r="B50" s="21"/>
      <c r="C50" s="114" t="s">
        <v>34</v>
      </c>
      <c r="D50" s="114" t="s">
        <v>160</v>
      </c>
      <c r="E50" s="509" t="s">
        <v>161</v>
      </c>
      <c r="F50" s="510"/>
      <c r="G50" s="114" t="s">
        <v>162</v>
      </c>
      <c r="H50" s="230" t="s">
        <v>36</v>
      </c>
      <c r="I50" s="156"/>
      <c r="J50" s="311"/>
      <c r="K50" s="500">
        <f>SUM(K19:K49)</f>
        <v>0</v>
      </c>
      <c r="L50" s="496">
        <f>SUM(L19:L49)</f>
        <v>0</v>
      </c>
      <c r="M50" s="496">
        <f>SUM(M19:M49)</f>
        <v>0</v>
      </c>
      <c r="N50" s="496">
        <f>SUM(N19:N49)</f>
        <v>0</v>
      </c>
      <c r="O50" s="502">
        <f>SUM(O19:O49)</f>
        <v>0</v>
      </c>
      <c r="P50" s="6"/>
      <c r="Q50" s="208" t="s">
        <v>8</v>
      </c>
      <c r="R50" s="209"/>
      <c r="S50" s="79"/>
      <c r="T50" s="64"/>
      <c r="U50" s="80">
        <f ca="1">ROUND(SUM(U44:U47),2)</f>
        <v>0</v>
      </c>
      <c r="V50" s="6"/>
      <c r="W50" s="6"/>
      <c r="X50" s="6"/>
      <c r="Y50" s="6"/>
      <c r="Z50" s="6"/>
    </row>
    <row r="51" spans="1:26" ht="12" customHeight="1" x14ac:dyDescent="0.2">
      <c r="A51" s="104" t="s">
        <v>117</v>
      </c>
      <c r="B51" s="22"/>
      <c r="C51" s="60">
        <f>IF(I29=0,0,Steuern!J82)</f>
        <v>0</v>
      </c>
      <c r="D51" s="60">
        <f>IF(I29=0,0,Steuern!L82)</f>
        <v>0</v>
      </c>
      <c r="E51" s="511">
        <f>IF(I29=0,0,Steuern!N82)</f>
        <v>0</v>
      </c>
      <c r="F51" s="512"/>
      <c r="G51" s="60">
        <f>IF(I29=0,0,Steuern!P82)</f>
        <v>0</v>
      </c>
      <c r="H51" s="67">
        <f>IF(I29=0,0,Steuern!R82)</f>
        <v>0</v>
      </c>
      <c r="I51" s="156"/>
      <c r="J51" s="309"/>
      <c r="K51" s="501"/>
      <c r="L51" s="497"/>
      <c r="M51" s="497"/>
      <c r="N51" s="497"/>
      <c r="O51" s="503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</row>
    <row r="52" spans="1:26" ht="12" customHeight="1" x14ac:dyDescent="0.2">
      <c r="A52" s="110" t="s">
        <v>118</v>
      </c>
      <c r="B52" s="23"/>
      <c r="C52" s="50"/>
      <c r="D52" s="50"/>
      <c r="E52" s="520"/>
      <c r="F52" s="521"/>
      <c r="G52" s="50"/>
      <c r="H52" s="69"/>
      <c r="I52" s="153">
        <f>IF(H52="",0,H51-H52)</f>
        <v>0</v>
      </c>
      <c r="J52" s="504" t="s">
        <v>230</v>
      </c>
      <c r="K52" s="505"/>
      <c r="L52" s="505"/>
      <c r="M52" s="505"/>
      <c r="N52" s="505"/>
      <c r="O52" s="506"/>
      <c r="P52" s="6"/>
      <c r="Q52" s="6"/>
      <c r="R52" s="6"/>
      <c r="S52" s="6"/>
      <c r="T52" s="66"/>
      <c r="U52" s="6"/>
      <c r="V52" s="6"/>
      <c r="W52" s="6"/>
      <c r="X52" s="6"/>
      <c r="Y52" s="6"/>
      <c r="Z52" s="6"/>
    </row>
    <row r="53" spans="1:26" ht="12" customHeight="1" x14ac:dyDescent="0.2">
      <c r="A53" s="119" t="s">
        <v>119</v>
      </c>
      <c r="B53" s="26"/>
      <c r="C53" s="26"/>
      <c r="D53" s="26"/>
      <c r="E53" s="26"/>
      <c r="F53" s="26"/>
      <c r="G53" s="26"/>
      <c r="H53" s="26"/>
      <c r="I53" s="154">
        <f ca="1">SUM(I29:I52)</f>
        <v>0</v>
      </c>
      <c r="J53" s="307"/>
      <c r="O53" s="134"/>
      <c r="P53" s="3"/>
      <c r="Q53" s="492" t="s">
        <v>6</v>
      </c>
      <c r="R53" s="493"/>
      <c r="S53" s="494" t="s">
        <v>7</v>
      </c>
      <c r="T53" s="498" t="s">
        <v>5</v>
      </c>
      <c r="U53" s="490" t="s">
        <v>2</v>
      </c>
      <c r="V53" s="3"/>
      <c r="W53" s="3"/>
      <c r="X53" s="3"/>
      <c r="Y53" s="3"/>
      <c r="Z53" s="3"/>
    </row>
    <row r="54" spans="1:26" ht="12" customHeight="1" x14ac:dyDescent="0.2">
      <c r="A54" s="115" t="s">
        <v>120</v>
      </c>
      <c r="B54" s="95" t="s">
        <v>124</v>
      </c>
      <c r="C54" s="193">
        <v>0</v>
      </c>
      <c r="D54" s="95" t="s">
        <v>38</v>
      </c>
      <c r="E54" s="592">
        <f>ROUND(IF($I$9="",0,Steuern!$D$89/13.5),2)</f>
        <v>0</v>
      </c>
      <c r="F54" s="593"/>
      <c r="G54" s="95" t="s">
        <v>40</v>
      </c>
      <c r="H54" s="194"/>
      <c r="I54" s="398">
        <f>C54+E54-H54</f>
        <v>0</v>
      </c>
      <c r="J54" s="568"/>
      <c r="K54" s="476"/>
      <c r="L54" s="476"/>
      <c r="M54" s="476"/>
      <c r="N54" s="476"/>
      <c r="O54" s="477"/>
      <c r="Q54" s="81" t="s">
        <v>0</v>
      </c>
      <c r="R54" s="82" t="s">
        <v>1</v>
      </c>
      <c r="S54" s="495"/>
      <c r="T54" s="499"/>
      <c r="U54" s="491"/>
      <c r="V54" s="1"/>
      <c r="W54" s="1"/>
      <c r="X54" s="1"/>
    </row>
    <row r="55" spans="1:26" ht="15" customHeight="1" x14ac:dyDescent="0.2">
      <c r="A55" s="116" t="s">
        <v>121</v>
      </c>
      <c r="B55" s="117" t="s">
        <v>37</v>
      </c>
      <c r="C55" s="51"/>
      <c r="D55" s="117" t="s">
        <v>39</v>
      </c>
      <c r="E55" s="596"/>
      <c r="F55" s="597"/>
      <c r="G55" s="117" t="s">
        <v>35</v>
      </c>
      <c r="H55" s="25"/>
      <c r="I55" s="399">
        <f>-(E55-H55)</f>
        <v>0</v>
      </c>
      <c r="J55" s="402"/>
      <c r="K55" s="401"/>
      <c r="L55" s="401"/>
      <c r="M55" s="401"/>
      <c r="N55" s="572"/>
      <c r="O55" s="573"/>
      <c r="Q55" s="78">
        <f>[1]Tab!A8</f>
        <v>0</v>
      </c>
      <c r="R55" s="74">
        <f>[1]Tab!D8</f>
        <v>15000</v>
      </c>
      <c r="S55" s="75">
        <f>S44</f>
        <v>0.23</v>
      </c>
      <c r="T55" s="76">
        <f>ROUND(R55*S55,2)</f>
        <v>3450</v>
      </c>
      <c r="U55" s="76">
        <f>ROUND(IF(AND(($C$52-D$52-E$52)&lt;=R55,($C$52-D$52-E$52)&gt;0),($C$52-$D$52-E$52)*S55,0),2)</f>
        <v>0</v>
      </c>
      <c r="V55" s="1"/>
      <c r="W55" s="1"/>
      <c r="X55" s="1"/>
    </row>
    <row r="56" spans="1:26" ht="16.899999999999999" customHeight="1" x14ac:dyDescent="0.2">
      <c r="A56" s="453" t="s">
        <v>122</v>
      </c>
      <c r="B56" s="118" t="s">
        <v>125</v>
      </c>
      <c r="C56" s="462"/>
      <c r="D56" s="118" t="s">
        <v>262</v>
      </c>
      <c r="E56" s="594"/>
      <c r="F56" s="595"/>
      <c r="G56" s="455"/>
      <c r="H56" s="456"/>
      <c r="I56" s="153">
        <f>-E56</f>
        <v>0</v>
      </c>
      <c r="J56" s="402"/>
      <c r="K56" s="401"/>
      <c r="L56" s="401"/>
      <c r="M56" s="401"/>
      <c r="N56" s="572"/>
      <c r="O56" s="573"/>
      <c r="Q56" s="78">
        <f>[1]Tab!A9</f>
        <v>15000.01</v>
      </c>
      <c r="R56" s="74">
        <f>[1]Tab!D9</f>
        <v>28000</v>
      </c>
      <c r="S56" s="75">
        <f>S45</f>
        <v>0.23</v>
      </c>
      <c r="T56" s="76">
        <f>ROUND((R56-Q56)*S56+T55,2)</f>
        <v>6440</v>
      </c>
      <c r="U56" s="76">
        <f>ROUND(IF(AND($C$52&lt;=R56,$C$52&gt;=Q56),T55+($C$52-R55)*S56,0),2)</f>
        <v>0</v>
      </c>
    </row>
    <row r="57" spans="1:26" ht="12.75" customHeight="1" x14ac:dyDescent="0.2">
      <c r="A57" s="457"/>
      <c r="B57" s="449"/>
      <c r="C57" s="449"/>
      <c r="D57" s="450"/>
      <c r="E57" s="518"/>
      <c r="F57" s="518"/>
      <c r="G57" s="450"/>
      <c r="H57" s="451"/>
      <c r="I57" s="458"/>
      <c r="J57" s="569"/>
      <c r="K57" s="570"/>
      <c r="L57" s="570"/>
      <c r="M57" s="570"/>
      <c r="N57" s="570"/>
      <c r="O57" s="571"/>
      <c r="P57" s="3"/>
      <c r="Q57" s="78">
        <f>[1]Tab!A10</f>
        <v>28000.01</v>
      </c>
      <c r="R57" s="74">
        <f>[1]Tab!D10</f>
        <v>50000</v>
      </c>
      <c r="S57" s="75">
        <f>S46</f>
        <v>0.35</v>
      </c>
      <c r="T57" s="76">
        <f>ROUND((R57-Q57)*S57+T56,2)</f>
        <v>14140</v>
      </c>
      <c r="U57" s="76">
        <f>ROUND(IF(AND($C$52&lt;=R57,$C$52&gt;=Q57),T56+($C$52-R56)*S57,0),2)</f>
        <v>0</v>
      </c>
      <c r="V57" s="3"/>
      <c r="W57" s="3"/>
      <c r="X57" s="3"/>
      <c r="Y57" s="3"/>
      <c r="Z57" s="3"/>
    </row>
    <row r="58" spans="1:26" ht="12.75" customHeight="1" x14ac:dyDescent="0.2">
      <c r="A58" s="465"/>
      <c r="B58" s="466"/>
      <c r="C58" s="466"/>
      <c r="D58" s="467"/>
      <c r="E58" s="519"/>
      <c r="F58" s="519"/>
      <c r="G58" s="467"/>
      <c r="H58" s="468"/>
      <c r="I58" s="469"/>
      <c r="J58" s="402"/>
      <c r="K58" s="401"/>
      <c r="L58" s="401"/>
      <c r="M58" s="401"/>
      <c r="N58" s="572"/>
      <c r="O58" s="573"/>
      <c r="P58" s="3"/>
      <c r="Q58" s="78">
        <f>[1]Tab!A11</f>
        <v>50000.01</v>
      </c>
      <c r="R58" s="74">
        <f>[1]Tab!D11</f>
        <v>0</v>
      </c>
      <c r="S58" s="75">
        <f>S47</f>
        <v>0.43</v>
      </c>
      <c r="T58" s="76"/>
      <c r="U58" s="76">
        <f>ROUND(IF(AND($C$52&lt;=R58,$C$52&gt;=Q58),T57+($C$52-R57)*S58,0),2)</f>
        <v>0</v>
      </c>
      <c r="V58" s="3"/>
      <c r="W58" s="3"/>
      <c r="X58" s="3"/>
      <c r="Y58" s="3"/>
      <c r="Z58" s="3"/>
    </row>
    <row r="59" spans="1:26" ht="12" customHeight="1" x14ac:dyDescent="0.2">
      <c r="A59" s="106" t="s">
        <v>123</v>
      </c>
      <c r="B59" s="8"/>
      <c r="C59" s="49"/>
      <c r="D59" s="117" t="s">
        <v>41</v>
      </c>
      <c r="E59" s="576">
        <f>-'06'!H59</f>
        <v>0</v>
      </c>
      <c r="F59" s="577"/>
      <c r="G59" s="117" t="s">
        <v>42</v>
      </c>
      <c r="H59" s="145">
        <f>IF(I29=0,0,SUM(I60-Q61))</f>
        <v>0</v>
      </c>
      <c r="I59" s="399">
        <f>IF(I29=0,0,SUM(E59,H59))</f>
        <v>0</v>
      </c>
      <c r="J59" s="402"/>
      <c r="K59" s="401"/>
      <c r="L59" s="401"/>
      <c r="M59" s="401"/>
      <c r="N59" s="572"/>
      <c r="O59" s="573"/>
      <c r="P59" s="3"/>
      <c r="Q59" s="78">
        <f>[1]Tab!A12</f>
        <v>0</v>
      </c>
      <c r="R59" s="74"/>
      <c r="S59" s="75">
        <f>S48</f>
        <v>0</v>
      </c>
      <c r="T59" s="77"/>
      <c r="U59" s="76">
        <f>ROUND(IF($H$41&gt;R58,T58+($H$41-R58)*S59,0),2)</f>
        <v>0</v>
      </c>
      <c r="V59" s="3"/>
      <c r="W59" s="3"/>
      <c r="X59" s="3"/>
      <c r="Y59" s="3"/>
      <c r="Z59" s="3"/>
    </row>
    <row r="60" spans="1:26" ht="12" customHeight="1" x14ac:dyDescent="0.2">
      <c r="A60" s="319" t="s">
        <v>43</v>
      </c>
      <c r="B60" s="320"/>
      <c r="C60" s="320"/>
      <c r="D60" s="320"/>
      <c r="E60" s="320"/>
      <c r="F60" s="320"/>
      <c r="G60" s="320"/>
      <c r="H60" s="320"/>
      <c r="I60" s="400">
        <f>IF(I29=0,0,ROUNDUP(Q61,0))</f>
        <v>0</v>
      </c>
      <c r="J60" s="403"/>
      <c r="K60" s="404"/>
      <c r="L60" s="404"/>
      <c r="M60" s="404"/>
      <c r="N60" s="566"/>
      <c r="O60" s="567"/>
      <c r="P60" s="6"/>
      <c r="Q60" s="208" t="s">
        <v>8</v>
      </c>
      <c r="R60" s="209"/>
      <c r="S60" s="79"/>
      <c r="T60" s="64"/>
      <c r="U60" s="80">
        <f>ROUND(SUM(U55:U59),2)</f>
        <v>0</v>
      </c>
      <c r="V60" s="6"/>
      <c r="W60" s="6"/>
      <c r="X60" s="6"/>
      <c r="Y60" s="6"/>
      <c r="Z60" s="6"/>
    </row>
    <row r="61" spans="1:26" ht="15" customHeight="1" x14ac:dyDescent="0.2">
      <c r="A61" s="1"/>
      <c r="B61" s="1"/>
      <c r="C61" s="1"/>
      <c r="D61" s="1"/>
      <c r="E61" s="1"/>
      <c r="F61" s="1"/>
      <c r="G61" s="1"/>
      <c r="H61" s="1"/>
      <c r="I61" s="1"/>
      <c r="K61" s="1"/>
      <c r="L61" s="1"/>
      <c r="M61" s="1"/>
      <c r="Q61" s="210">
        <f ca="1">SUM(I53:I58,E59)</f>
        <v>0</v>
      </c>
    </row>
    <row r="63" spans="1:26" ht="15.75" customHeight="1" x14ac:dyDescent="0.2"/>
    <row r="64" spans="1:26" x14ac:dyDescent="0.2">
      <c r="A64" s="71" t="str">
        <f>'[1]Beschr-Descr.'!A1</f>
        <v xml:space="preserve">Beschreibung Lohnelemente  </v>
      </c>
    </row>
    <row r="65" spans="1:6" x14ac:dyDescent="0.2">
      <c r="A65" s="71" t="str">
        <f>'[1]Beschr-Descr.'!A2</f>
        <v>Descrizione elementi di retribuzione</v>
      </c>
      <c r="F65" s="71" t="s">
        <v>3</v>
      </c>
    </row>
    <row r="66" spans="1:6" x14ac:dyDescent="0.2">
      <c r="A66" s="84">
        <f>'[1]Beschr-Descr.'!A3</f>
        <v>0</v>
      </c>
      <c r="B66" s="84">
        <f>'[1]Beschr-Descr.'!B3</f>
        <v>0</v>
      </c>
      <c r="C66" s="84">
        <f>'[1]Beschr-Descr.'!C3</f>
        <v>0</v>
      </c>
      <c r="D66" s="84">
        <f>'[1]Beschr-Descr.'!D3</f>
        <v>0</v>
      </c>
      <c r="E66" s="84">
        <f>'[1]Beschr-Descr.'!E3</f>
        <v>0</v>
      </c>
    </row>
    <row r="67" spans="1:6" x14ac:dyDescent="0.2">
      <c r="A67" s="84" t="str">
        <f>'[1]Beschr-Descr.'!A4</f>
        <v>Normalentlohnung</v>
      </c>
      <c r="B67" s="84"/>
      <c r="C67" s="84">
        <f>'[1]Beschr-Descr.'!C4</f>
        <v>0</v>
      </c>
      <c r="D67" s="84">
        <f>'[1]Beschr-Descr.'!D4</f>
        <v>0</v>
      </c>
      <c r="E67" s="207">
        <f>'[1]Beschr-Descr.'!E4</f>
        <v>0</v>
      </c>
      <c r="F67" t="s">
        <v>44</v>
      </c>
    </row>
    <row r="68" spans="1:6" x14ac:dyDescent="0.2">
      <c r="A68" s="84" t="str">
        <f>'[1]Beschr-Descr.'!A5</f>
        <v>Genossener Urlaub</v>
      </c>
      <c r="B68" s="84"/>
      <c r="C68" s="84">
        <f>'[1]Beschr-Descr.'!C5</f>
        <v>0</v>
      </c>
      <c r="D68" s="84">
        <f>'[1]Beschr-Descr.'!D5</f>
        <v>0</v>
      </c>
      <c r="E68" s="207">
        <f>'[1]Beschr-Descr.'!E5</f>
        <v>0</v>
      </c>
      <c r="F68" t="s">
        <v>45</v>
      </c>
    </row>
    <row r="69" spans="1:6" x14ac:dyDescent="0.2">
      <c r="A69" s="84" t="str">
        <f>'[1]Beschr-Descr.'!A6</f>
        <v>Genossene Freistellungen</v>
      </c>
      <c r="B69" s="84"/>
      <c r="C69" s="84">
        <f>'[1]Beschr-Descr.'!C6</f>
        <v>0</v>
      </c>
      <c r="D69" s="84">
        <f>'[1]Beschr-Descr.'!D6</f>
        <v>0</v>
      </c>
      <c r="E69" s="207">
        <f>'[1]Beschr-Descr.'!E6</f>
        <v>0</v>
      </c>
      <c r="F69" t="s">
        <v>46</v>
      </c>
    </row>
    <row r="70" spans="1:6" x14ac:dyDescent="0.2">
      <c r="A70" s="84" t="str">
        <f>'[1]Beschr-Descr.'!A7</f>
        <v>Nicht genossener Urlaub</v>
      </c>
      <c r="B70" s="84"/>
      <c r="C70" s="84">
        <f>'[1]Beschr-Descr.'!C7</f>
        <v>0</v>
      </c>
      <c r="D70" s="84">
        <f>'[1]Beschr-Descr.'!D7</f>
        <v>0</v>
      </c>
      <c r="E70" s="207">
        <f>'[1]Beschr-Descr.'!E7</f>
        <v>0</v>
      </c>
    </row>
    <row r="71" spans="1:6" x14ac:dyDescent="0.2">
      <c r="A71" s="84" t="str">
        <f>'[1]Beschr-Descr.'!A8</f>
        <v>Nicht genossene Freistellungen</v>
      </c>
      <c r="B71" s="84"/>
      <c r="C71" s="84">
        <f>'[1]Beschr-Descr.'!C8</f>
        <v>0</v>
      </c>
      <c r="D71" s="84">
        <f>'[1]Beschr-Descr.'!D8</f>
        <v>0</v>
      </c>
      <c r="E71" s="207">
        <f>'[1]Beschr-Descr.'!E8</f>
        <v>0</v>
      </c>
    </row>
    <row r="72" spans="1:6" x14ac:dyDescent="0.2">
      <c r="A72" s="84" t="str">
        <f>'[1]Beschr-Descr.'!A9</f>
        <v>Nicht genossene Feiertage</v>
      </c>
      <c r="B72" s="84"/>
      <c r="C72" s="84">
        <f>'[1]Beschr-Descr.'!C9</f>
        <v>0</v>
      </c>
      <c r="D72" s="84">
        <f>'[1]Beschr-Descr.'!D9</f>
        <v>0</v>
      </c>
      <c r="E72" s="207">
        <f>'[1]Beschr-Descr.'!E9</f>
        <v>0</v>
      </c>
    </row>
    <row r="73" spans="1:6" x14ac:dyDescent="0.2">
      <c r="A73" s="84" t="str">
        <f>'[1]Beschr-Descr.'!A10</f>
        <v>Zulage für Kassarisiko</v>
      </c>
      <c r="B73" s="84"/>
      <c r="C73" s="84">
        <f>'[1]Beschr-Descr.'!C10</f>
        <v>0</v>
      </c>
      <c r="D73" s="84">
        <f>'[1]Beschr-Descr.'!D10</f>
        <v>0</v>
      </c>
      <c r="E73" s="207">
        <f>'[1]Beschr-Descr.'!E10</f>
        <v>0</v>
      </c>
    </row>
    <row r="74" spans="1:6" x14ac:dyDescent="0.2">
      <c r="A74" s="84">
        <f>'[1]Beschr-Descr.'!A11</f>
        <v>0</v>
      </c>
      <c r="B74" s="84"/>
      <c r="C74" s="84">
        <f>'[1]Beschr-Descr.'!C11</f>
        <v>0</v>
      </c>
      <c r="D74" s="84">
        <f>'[1]Beschr-Descr.'!D11</f>
        <v>0</v>
      </c>
      <c r="E74" s="207">
        <f>'[1]Beschr-Descr.'!E11</f>
        <v>0</v>
      </c>
    </row>
    <row r="75" spans="1:6" x14ac:dyDescent="0.2">
      <c r="A75" s="84" t="str">
        <f>'[1]Beschr-Descr.'!A12</f>
        <v xml:space="preserve">Überstunden 15%  </v>
      </c>
      <c r="B75" s="84"/>
      <c r="C75" s="84">
        <f>'[1]Beschr-Descr.'!C12</f>
        <v>0</v>
      </c>
      <c r="D75" s="84">
        <f>'[1]Beschr-Descr.'!D12</f>
        <v>0</v>
      </c>
      <c r="E75" s="207">
        <f>'[1]Beschr-Descr.'!E12</f>
        <v>0.15</v>
      </c>
    </row>
    <row r="76" spans="1:6" x14ac:dyDescent="0.2">
      <c r="A76" s="84" t="str">
        <f>'[1]Beschr-Descr.'!A13</f>
        <v xml:space="preserve">Überstunden 20%  </v>
      </c>
      <c r="B76" s="84"/>
      <c r="C76" s="84">
        <f>'[1]Beschr-Descr.'!C13</f>
        <v>0</v>
      </c>
      <c r="D76" s="84">
        <f>'[1]Beschr-Descr.'!D13</f>
        <v>0</v>
      </c>
      <c r="E76" s="207">
        <f>'[1]Beschr-Descr.'!E13</f>
        <v>0.2</v>
      </c>
    </row>
    <row r="77" spans="1:6" x14ac:dyDescent="0.2">
      <c r="A77" s="84" t="str">
        <f>'[1]Beschr-Descr.'!A14</f>
        <v xml:space="preserve">Überstunden 30%  </v>
      </c>
      <c r="B77" s="84"/>
      <c r="C77" s="84">
        <f>'[1]Beschr-Descr.'!C14</f>
        <v>0</v>
      </c>
      <c r="D77" s="84">
        <f>'[1]Beschr-Descr.'!D14</f>
        <v>0</v>
      </c>
      <c r="E77" s="207">
        <f>'[1]Beschr-Descr.'!E14</f>
        <v>0.3</v>
      </c>
    </row>
    <row r="78" spans="1:6" x14ac:dyDescent="0.2">
      <c r="A78" s="84" t="str">
        <f>'[1]Beschr-Descr.'!A15</f>
        <v xml:space="preserve">Überstunden 50%  </v>
      </c>
      <c r="B78" s="84"/>
      <c r="C78" s="84">
        <f>'[1]Beschr-Descr.'!C15</f>
        <v>0</v>
      </c>
      <c r="D78" s="84">
        <f>'[1]Beschr-Descr.'!D15</f>
        <v>0</v>
      </c>
      <c r="E78" s="207">
        <f>'[1]Beschr-Descr.'!E15</f>
        <v>0.5</v>
      </c>
    </row>
    <row r="79" spans="1:6" x14ac:dyDescent="0.2">
      <c r="A79" s="84" t="str">
        <f>'[1]Beschr-Descr.'!A16</f>
        <v>Nachtstunden 50%</v>
      </c>
      <c r="B79" s="84"/>
      <c r="C79" s="84">
        <f>'[1]Beschr-Descr.'!C16</f>
        <v>0</v>
      </c>
      <c r="D79" s="84">
        <f>'[1]Beschr-Descr.'!D16</f>
        <v>0</v>
      </c>
      <c r="E79" s="207">
        <f>'[1]Beschr-Descr.'!E16</f>
        <v>0.5</v>
      </c>
    </row>
    <row r="80" spans="1:6" x14ac:dyDescent="0.2">
      <c r="A80" s="84">
        <f>'[1]Beschr-Descr.'!A17</f>
        <v>0</v>
      </c>
      <c r="B80" s="84"/>
      <c r="C80" s="84">
        <f>'[1]Beschr-Descr.'!C17</f>
        <v>0</v>
      </c>
      <c r="D80" s="84">
        <f>'[1]Beschr-Descr.'!D17</f>
        <v>0</v>
      </c>
      <c r="E80" s="207">
        <f>'[1]Beschr-Descr.'!E17</f>
        <v>0</v>
      </c>
    </row>
    <row r="81" spans="1:5" x14ac:dyDescent="0.2">
      <c r="A81" s="84" t="str">
        <f>'[1]Beschr-Descr.'!A18</f>
        <v>Krankheit gesamt</v>
      </c>
      <c r="B81" s="84"/>
      <c r="C81" s="84">
        <f>'[1]Beschr-Descr.'!C18</f>
        <v>0</v>
      </c>
      <c r="D81" s="84">
        <f>'[1]Beschr-Descr.'!D18</f>
        <v>0</v>
      </c>
      <c r="E81" s="207">
        <f>'[1]Beschr-Descr.'!E18</f>
        <v>0</v>
      </c>
    </row>
    <row r="82" spans="1:5" x14ac:dyDescent="0.2">
      <c r="A82" s="84" t="str">
        <f>'[1]Beschr-Descr.'!A19</f>
        <v xml:space="preserve">Krankheit INPS-Anteil 50,00% </v>
      </c>
      <c r="B82" s="84"/>
      <c r="C82" s="84">
        <f>'[1]Beschr-Descr.'!C19</f>
        <v>0</v>
      </c>
      <c r="D82" s="84">
        <f>'[1]Beschr-Descr.'!D19</f>
        <v>0</v>
      </c>
      <c r="E82" s="207">
        <f>'[1]Beschr-Descr.'!E19</f>
        <v>-0.5</v>
      </c>
    </row>
    <row r="83" spans="1:5" x14ac:dyDescent="0.2">
      <c r="A83" s="84" t="str">
        <f>'[1]Beschr-Descr.'!A20</f>
        <v xml:space="preserve">Krankheit INPS-Anteil 66,67% </v>
      </c>
      <c r="B83" s="84"/>
      <c r="C83" s="84">
        <f>'[1]Beschr-Descr.'!C20</f>
        <v>0</v>
      </c>
      <c r="D83" s="84">
        <f>'[1]Beschr-Descr.'!D20</f>
        <v>0</v>
      </c>
      <c r="E83" s="207">
        <f>'[1]Beschr-Descr.'!E20</f>
        <v>-0.66669999999999996</v>
      </c>
    </row>
    <row r="84" spans="1:5" x14ac:dyDescent="0.2">
      <c r="A84" s="84" t="str">
        <f>'[1]Beschr-Descr.'!A21</f>
        <v>Mutterschaft Gesamtbetrag</v>
      </c>
      <c r="B84" s="84"/>
      <c r="C84" s="84">
        <f>'[1]Beschr-Descr.'!C21</f>
        <v>0</v>
      </c>
      <c r="D84" s="84">
        <f>'[1]Beschr-Descr.'!D21</f>
        <v>0</v>
      </c>
      <c r="E84" s="207">
        <f>'[1]Beschr-Descr.'!E21</f>
        <v>0</v>
      </c>
    </row>
    <row r="85" spans="1:5" x14ac:dyDescent="0.2">
      <c r="A85" s="84" t="str">
        <f>'[1]Beschr-Descr.'!A22</f>
        <v>Mutterschaft INPS-Anteil 80,00%</v>
      </c>
      <c r="B85" s="84"/>
      <c r="C85" s="84">
        <f>'[1]Beschr-Descr.'!C22</f>
        <v>0</v>
      </c>
      <c r="D85" s="84">
        <f>'[1]Beschr-Descr.'!D22</f>
        <v>0</v>
      </c>
      <c r="E85" s="207">
        <f>'[1]Beschr-Descr.'!E22</f>
        <v>-0.8</v>
      </c>
    </row>
    <row r="86" spans="1:5" x14ac:dyDescent="0.2">
      <c r="A86" s="84" t="str">
        <f>'[1]Beschr-Descr.'!A23</f>
        <v>Abzug Bruttoberechnung Krankengeld INPS</v>
      </c>
      <c r="B86" s="84"/>
      <c r="C86" s="84">
        <f>'[1]Beschr-Descr.'!C23</f>
        <v>0</v>
      </c>
      <c r="D86" s="84">
        <f>'[1]Beschr-Descr.'!D23</f>
        <v>0</v>
      </c>
      <c r="E86" s="207">
        <f>'[1]Beschr-Descr.'!E23</f>
        <v>0.10120030833608633</v>
      </c>
    </row>
    <row r="87" spans="1:5" x14ac:dyDescent="0.2">
      <c r="A87" s="84">
        <f>'[1]Beschr-Descr.'!A24</f>
        <v>0</v>
      </c>
      <c r="B87" s="84"/>
      <c r="C87" s="84">
        <f>'[1]Beschr-Descr.'!C24</f>
        <v>0</v>
      </c>
      <c r="D87" s="84">
        <f>'[1]Beschr-Descr.'!D24</f>
        <v>0</v>
      </c>
      <c r="E87" s="207">
        <f>'[1]Beschr-Descr.'!E24</f>
        <v>0</v>
      </c>
    </row>
    <row r="88" spans="1:5" x14ac:dyDescent="0.2">
      <c r="A88" s="84" t="str">
        <f>'[1]Beschr-Descr.'!A25</f>
        <v xml:space="preserve">13. Monatsgehalt  </v>
      </c>
      <c r="B88" s="84"/>
      <c r="C88" s="84">
        <f>'[1]Beschr-Descr.'!C25</f>
        <v>0</v>
      </c>
      <c r="D88" s="84">
        <f>'[1]Beschr-Descr.'!D25</f>
        <v>0</v>
      </c>
      <c r="E88" s="207">
        <f>'[1]Beschr-Descr.'!E25</f>
        <v>0</v>
      </c>
    </row>
    <row r="89" spans="1:5" x14ac:dyDescent="0.2">
      <c r="A89" s="84" t="str">
        <f>'[1]Beschr-Descr.'!A26</f>
        <v xml:space="preserve">14. Monatsgehalt  </v>
      </c>
      <c r="B89" s="84"/>
      <c r="C89" s="84">
        <f>'[1]Beschr-Descr.'!C26</f>
        <v>0</v>
      </c>
      <c r="D89" s="84">
        <f>'[1]Beschr-Descr.'!D26</f>
        <v>0</v>
      </c>
      <c r="E89" s="207">
        <f>'[1]Beschr-Descr.'!E26</f>
        <v>0</v>
      </c>
    </row>
    <row r="90" spans="1:5" x14ac:dyDescent="0.2">
      <c r="A90" s="84" t="str">
        <f>'[1]Beschr-Descr.'!A27</f>
        <v xml:space="preserve">Nichteinhaltung Kündigungsfrist  </v>
      </c>
      <c r="B90" s="84"/>
      <c r="C90" s="84">
        <f>'[1]Beschr-Descr.'!C27</f>
        <v>0</v>
      </c>
      <c r="D90" s="84">
        <f>'[1]Beschr-Descr.'!D27</f>
        <v>0</v>
      </c>
      <c r="E90" s="207">
        <f>'[1]Beschr-Descr.'!E27</f>
        <v>0</v>
      </c>
    </row>
    <row r="91" spans="1:5" x14ac:dyDescent="0.2">
      <c r="A91" s="84" t="str">
        <f>'[1]Beschr-Descr.'!A28</f>
        <v>Una Tantum</v>
      </c>
      <c r="B91" s="84"/>
      <c r="C91" s="84">
        <f>'[1]Beschr-Descr.'!C28</f>
        <v>0</v>
      </c>
      <c r="D91" s="84">
        <f>'[1]Beschr-Descr.'!D28</f>
        <v>0</v>
      </c>
      <c r="E91" s="207">
        <f>'[1]Beschr-Descr.'!E28</f>
        <v>0</v>
      </c>
    </row>
    <row r="92" spans="1:5" x14ac:dyDescent="0.2">
      <c r="A92" s="84" t="str">
        <f>'[1]Beschr-Descr.'!A29</f>
        <v>Prämie</v>
      </c>
      <c r="B92" s="84"/>
      <c r="C92" s="84">
        <f>'[1]Beschr-Descr.'!C29</f>
        <v>0</v>
      </c>
      <c r="D92" s="84">
        <f>'[1]Beschr-Descr.'!D29</f>
        <v>0</v>
      </c>
      <c r="E92" s="207">
        <f>'[1]Beschr-Descr.'!E29</f>
        <v>0</v>
      </c>
    </row>
    <row r="93" spans="1:5" x14ac:dyDescent="0.2">
      <c r="A93" s="84">
        <f>'[1]Beschr-Descr.'!A30</f>
        <v>0</v>
      </c>
      <c r="B93" s="84"/>
      <c r="C93" s="84">
        <f>'[1]Beschr-Descr.'!C30</f>
        <v>0</v>
      </c>
      <c r="D93" s="84">
        <f>'[1]Beschr-Descr.'!D30</f>
        <v>0</v>
      </c>
      <c r="E93" s="207">
        <f>'[1]Beschr-Descr.'!E30</f>
        <v>0</v>
      </c>
    </row>
    <row r="94" spans="1:5" x14ac:dyDescent="0.2">
      <c r="A94" s="84">
        <f>'[1]Beschr-Descr.'!A31</f>
        <v>0</v>
      </c>
      <c r="B94" s="84"/>
      <c r="C94" s="84">
        <f>'[1]Beschr-Descr.'!C31</f>
        <v>0</v>
      </c>
      <c r="D94" s="84">
        <f>'[1]Beschr-Descr.'!D31</f>
        <v>0</v>
      </c>
      <c r="E94" s="207">
        <f>'[1]Beschr-Descr.'!E31</f>
        <v>0</v>
      </c>
    </row>
    <row r="95" spans="1:5" x14ac:dyDescent="0.2">
      <c r="A95" s="84" t="str">
        <f>'[1]Beschr-Descr.'!A32</f>
        <v xml:space="preserve">Retribuzione ordinaria </v>
      </c>
      <c r="B95" s="84"/>
      <c r="C95" s="84">
        <f>'[1]Beschr-Descr.'!C32</f>
        <v>0</v>
      </c>
      <c r="D95" s="84">
        <f>'[1]Beschr-Descr.'!D32</f>
        <v>0</v>
      </c>
      <c r="E95" s="207">
        <f>'[1]Beschr-Descr.'!E32</f>
        <v>0</v>
      </c>
    </row>
    <row r="96" spans="1:5" x14ac:dyDescent="0.2">
      <c r="A96" s="84" t="str">
        <f>'[1]Beschr-Descr.'!A33</f>
        <v>Ferie godute</v>
      </c>
      <c r="B96" s="84"/>
      <c r="C96" s="84">
        <f>'[1]Beschr-Descr.'!C33</f>
        <v>0</v>
      </c>
      <c r="D96" s="84">
        <f>'[1]Beschr-Descr.'!D33</f>
        <v>0</v>
      </c>
      <c r="E96" s="207">
        <f>'[1]Beschr-Descr.'!E33</f>
        <v>0</v>
      </c>
    </row>
    <row r="97" spans="1:5" x14ac:dyDescent="0.2">
      <c r="A97" s="84" t="str">
        <f>'[1]Beschr-Descr.'!A34</f>
        <v>Permessi goduti</v>
      </c>
      <c r="B97" s="84"/>
      <c r="C97" s="84">
        <f>'[1]Beschr-Descr.'!C34</f>
        <v>0</v>
      </c>
      <c r="D97" s="84">
        <f>'[1]Beschr-Descr.'!D34</f>
        <v>0</v>
      </c>
      <c r="E97" s="207">
        <f>'[1]Beschr-Descr.'!E34</f>
        <v>0</v>
      </c>
    </row>
    <row r="98" spans="1:5" x14ac:dyDescent="0.2">
      <c r="A98" s="84" t="str">
        <f>'[1]Beschr-Descr.'!A35</f>
        <v>Ferie non godute</v>
      </c>
      <c r="B98" s="84"/>
      <c r="C98" s="84">
        <f>'[1]Beschr-Descr.'!C35</f>
        <v>0</v>
      </c>
      <c r="D98" s="84">
        <f>'[1]Beschr-Descr.'!D35</f>
        <v>0</v>
      </c>
      <c r="E98" s="207">
        <f>'[1]Beschr-Descr.'!E35</f>
        <v>0</v>
      </c>
    </row>
    <row r="99" spans="1:5" x14ac:dyDescent="0.2">
      <c r="A99" s="84" t="str">
        <f>'[1]Beschr-Descr.'!A36</f>
        <v>Ferie non godute</v>
      </c>
      <c r="B99" s="84"/>
      <c r="C99" s="84">
        <f>'[1]Beschr-Descr.'!C36</f>
        <v>0</v>
      </c>
      <c r="D99" s="84">
        <f>'[1]Beschr-Descr.'!D36</f>
        <v>0</v>
      </c>
      <c r="E99" s="207">
        <f>'[1]Beschr-Descr.'!E36</f>
        <v>0</v>
      </c>
    </row>
    <row r="100" spans="1:5" x14ac:dyDescent="0.2">
      <c r="A100" s="84" t="str">
        <f>'[1]Beschr-Descr.'!A37</f>
        <v>Festività non godute</v>
      </c>
      <c r="B100" s="84"/>
      <c r="C100" s="84">
        <f>'[1]Beschr-Descr.'!C37</f>
        <v>0</v>
      </c>
      <c r="D100" s="84">
        <f>'[1]Beschr-Descr.'!D37</f>
        <v>0</v>
      </c>
      <c r="E100" s="207">
        <f>'[1]Beschr-Descr.'!E37</f>
        <v>0</v>
      </c>
    </row>
    <row r="101" spans="1:5" x14ac:dyDescent="0.2">
      <c r="A101" s="84" t="str">
        <f>'[1]Beschr-Descr.'!A38</f>
        <v>Indennità rischio cassa</v>
      </c>
      <c r="B101" s="84"/>
      <c r="C101" s="84">
        <f>'[1]Beschr-Descr.'!C38</f>
        <v>0</v>
      </c>
      <c r="D101" s="84">
        <f>'[1]Beschr-Descr.'!D38</f>
        <v>0</v>
      </c>
      <c r="E101" s="207">
        <f>'[1]Beschr-Descr.'!E38</f>
        <v>0</v>
      </c>
    </row>
    <row r="102" spans="1:5" x14ac:dyDescent="0.2">
      <c r="A102" s="84">
        <f>'[1]Beschr-Descr.'!A39</f>
        <v>0</v>
      </c>
      <c r="B102" s="84"/>
      <c r="C102" s="84">
        <f>'[1]Beschr-Descr.'!C39</f>
        <v>0</v>
      </c>
      <c r="D102" s="84">
        <f>'[1]Beschr-Descr.'!D39</f>
        <v>0</v>
      </c>
      <c r="E102" s="207">
        <f>'[1]Beschr-Descr.'!E39</f>
        <v>0</v>
      </c>
    </row>
    <row r="103" spans="1:5" x14ac:dyDescent="0.2">
      <c r="A103" s="84" t="str">
        <f>'[1]Beschr-Descr.'!A40</f>
        <v>Ore straordinarie 15%</v>
      </c>
      <c r="B103" s="84"/>
      <c r="C103" s="84">
        <f>'[1]Beschr-Descr.'!C40</f>
        <v>0</v>
      </c>
      <c r="D103" s="84">
        <f>'[1]Beschr-Descr.'!D40</f>
        <v>0</v>
      </c>
      <c r="E103" s="207">
        <f>'[1]Beschr-Descr.'!E40</f>
        <v>0.15</v>
      </c>
    </row>
    <row r="104" spans="1:5" x14ac:dyDescent="0.2">
      <c r="A104" s="84" t="str">
        <f>'[1]Beschr-Descr.'!A41</f>
        <v>Ore straordinarie 20%</v>
      </c>
      <c r="B104" s="84"/>
      <c r="C104" s="84">
        <f>'[1]Beschr-Descr.'!C41</f>
        <v>0</v>
      </c>
      <c r="D104" s="84">
        <f>'[1]Beschr-Descr.'!D41</f>
        <v>0</v>
      </c>
      <c r="E104" s="207">
        <f>'[1]Beschr-Descr.'!E41</f>
        <v>0.2</v>
      </c>
    </row>
    <row r="105" spans="1:5" x14ac:dyDescent="0.2">
      <c r="A105" s="84" t="str">
        <f>'[1]Beschr-Descr.'!A42</f>
        <v>Ore straordinarie 30%</v>
      </c>
      <c r="B105" s="84"/>
      <c r="C105" s="84">
        <f>'[1]Beschr-Descr.'!C42</f>
        <v>0</v>
      </c>
      <c r="D105" s="84">
        <f>'[1]Beschr-Descr.'!D42</f>
        <v>0</v>
      </c>
      <c r="E105" s="207">
        <f>'[1]Beschr-Descr.'!E42</f>
        <v>0.3</v>
      </c>
    </row>
    <row r="106" spans="1:5" x14ac:dyDescent="0.2">
      <c r="A106" s="84" t="str">
        <f>'[1]Beschr-Descr.'!A43</f>
        <v>Ore straordinarie 50%</v>
      </c>
      <c r="B106" s="84"/>
      <c r="C106" s="84">
        <f>'[1]Beschr-Descr.'!C43</f>
        <v>0</v>
      </c>
      <c r="D106" s="84">
        <f>'[1]Beschr-Descr.'!D43</f>
        <v>0</v>
      </c>
      <c r="E106" s="207">
        <f>'[1]Beschr-Descr.'!E43</f>
        <v>0.5</v>
      </c>
    </row>
    <row r="107" spans="1:5" x14ac:dyDescent="0.2">
      <c r="A107" s="84" t="str">
        <f>'[1]Beschr-Descr.'!A44</f>
        <v>Ore notturne 50%</v>
      </c>
      <c r="B107" s="84"/>
      <c r="C107" s="84">
        <f>'[1]Beschr-Descr.'!C44</f>
        <v>0</v>
      </c>
      <c r="D107" s="84">
        <f>'[1]Beschr-Descr.'!D44</f>
        <v>0</v>
      </c>
      <c r="E107" s="207">
        <f>'[1]Beschr-Descr.'!E44</f>
        <v>0.5</v>
      </c>
    </row>
    <row r="108" spans="1:5" x14ac:dyDescent="0.2">
      <c r="A108" s="84">
        <f>'[1]Beschr-Descr.'!A45</f>
        <v>0</v>
      </c>
      <c r="B108" s="84"/>
      <c r="C108" s="84">
        <f>'[1]Beschr-Descr.'!C45</f>
        <v>0</v>
      </c>
      <c r="D108" s="84">
        <f>'[1]Beschr-Descr.'!D45</f>
        <v>0</v>
      </c>
      <c r="E108" s="207">
        <f>'[1]Beschr-Descr.'!E45</f>
        <v>0</v>
      </c>
    </row>
    <row r="109" spans="1:5" x14ac:dyDescent="0.2">
      <c r="A109" s="84" t="str">
        <f>'[1]Beschr-Descr.'!A46</f>
        <v>Indennità di malattia totale</v>
      </c>
      <c r="B109" s="84"/>
      <c r="C109" s="84">
        <f>'[1]Beschr-Descr.'!C46</f>
        <v>0</v>
      </c>
      <c r="D109" s="84">
        <f>'[1]Beschr-Descr.'!D46</f>
        <v>0</v>
      </c>
      <c r="E109" s="207">
        <f>'[1]Beschr-Descr.'!E46</f>
        <v>0</v>
      </c>
    </row>
    <row r="110" spans="1:5" x14ac:dyDescent="0.2">
      <c r="A110" s="84" t="str">
        <f>'[1]Beschr-Descr.'!A47</f>
        <v>Indennità di malattia quota INPS 50%</v>
      </c>
      <c r="B110" s="84"/>
      <c r="C110" s="84">
        <f>'[1]Beschr-Descr.'!C47</f>
        <v>0</v>
      </c>
      <c r="D110" s="84">
        <f>'[1]Beschr-Descr.'!D47</f>
        <v>0</v>
      </c>
      <c r="E110" s="207">
        <f>'[1]Beschr-Descr.'!E47</f>
        <v>-0.5</v>
      </c>
    </row>
    <row r="111" spans="1:5" x14ac:dyDescent="0.2">
      <c r="A111" s="84" t="str">
        <f>'[1]Beschr-Descr.'!A48</f>
        <v>Indennità di malattia quota INPS 66,67%</v>
      </c>
      <c r="B111" s="84"/>
      <c r="C111" s="84">
        <f>'[1]Beschr-Descr.'!C48</f>
        <v>0</v>
      </c>
      <c r="D111" s="84">
        <f>'[1]Beschr-Descr.'!D48</f>
        <v>0</v>
      </c>
      <c r="E111" s="207">
        <f>'[1]Beschr-Descr.'!E48</f>
        <v>-0.66669999999999996</v>
      </c>
    </row>
    <row r="112" spans="1:5" x14ac:dyDescent="0.2">
      <c r="A112" s="84" t="str">
        <f>'[1]Beschr-Descr.'!A49</f>
        <v>Indennità di maternità importo totale</v>
      </c>
      <c r="B112" s="84"/>
      <c r="C112" s="84">
        <f>'[1]Beschr-Descr.'!C49</f>
        <v>0</v>
      </c>
      <c r="D112" s="84">
        <f>'[1]Beschr-Descr.'!D49</f>
        <v>0</v>
      </c>
      <c r="E112" s="207">
        <f>'[1]Beschr-Descr.'!E49</f>
        <v>0</v>
      </c>
    </row>
    <row r="113" spans="1:5" x14ac:dyDescent="0.2">
      <c r="A113" s="84" t="str">
        <f>'[1]Beschr-Descr.'!A50</f>
        <v>Indennità di maternità quota INPS 80,00%</v>
      </c>
      <c r="B113" s="84"/>
      <c r="C113" s="84">
        <f>'[1]Beschr-Descr.'!C50</f>
        <v>0</v>
      </c>
      <c r="D113" s="84">
        <f>'[1]Beschr-Descr.'!D50</f>
        <v>0</v>
      </c>
      <c r="E113" s="207">
        <f>'[1]Beschr-Descr.'!E50</f>
        <v>-0.8</v>
      </c>
    </row>
    <row r="114" spans="1:5" x14ac:dyDescent="0.2">
      <c r="A114" s="84" t="str">
        <f>'[1]Beschr-Descr.'!A51</f>
        <v>Lordizzazione indennità malattia quota INPS</v>
      </c>
      <c r="B114" s="84"/>
      <c r="C114" s="84">
        <f>'[1]Beschr-Descr.'!C51</f>
        <v>0</v>
      </c>
      <c r="D114" s="84">
        <f>'[1]Beschr-Descr.'!D51</f>
        <v>0</v>
      </c>
      <c r="E114" s="207">
        <f>'[1]Beschr-Descr.'!E51</f>
        <v>0.1012</v>
      </c>
    </row>
    <row r="115" spans="1:5" x14ac:dyDescent="0.2">
      <c r="A115" s="84">
        <f>'[1]Beschr-Descr.'!A52</f>
        <v>0</v>
      </c>
      <c r="B115" s="84"/>
      <c r="C115" s="84">
        <f>'[1]Beschr-Descr.'!C52</f>
        <v>0</v>
      </c>
      <c r="D115" s="84">
        <f>'[1]Beschr-Descr.'!D52</f>
        <v>0</v>
      </c>
      <c r="E115" s="207">
        <f>'[1]Beschr-Descr.'!E52</f>
        <v>0</v>
      </c>
    </row>
    <row r="116" spans="1:5" x14ac:dyDescent="0.2">
      <c r="A116" s="84" t="str">
        <f>'[1]Beschr-Descr.'!A53</f>
        <v>13a mensilità</v>
      </c>
      <c r="B116" s="84"/>
      <c r="C116" s="84">
        <f>'[1]Beschr-Descr.'!C53</f>
        <v>0</v>
      </c>
      <c r="D116" s="84">
        <f>'[1]Beschr-Descr.'!D53</f>
        <v>0</v>
      </c>
      <c r="E116" s="207">
        <f>'[1]Beschr-Descr.'!E53</f>
        <v>0</v>
      </c>
    </row>
    <row r="117" spans="1:5" x14ac:dyDescent="0.2">
      <c r="A117" s="84" t="str">
        <f>'[1]Beschr-Descr.'!A54</f>
        <v>14a mensilità</v>
      </c>
      <c r="B117" s="84"/>
      <c r="C117" s="84">
        <f>'[1]Beschr-Descr.'!C54</f>
        <v>0</v>
      </c>
      <c r="D117" s="84">
        <f>'[1]Beschr-Descr.'!D54</f>
        <v>0</v>
      </c>
      <c r="E117" s="207">
        <f>'[1]Beschr-Descr.'!E54</f>
        <v>0</v>
      </c>
    </row>
    <row r="118" spans="1:5" x14ac:dyDescent="0.2">
      <c r="A118" s="84" t="str">
        <f>'[1]Beschr-Descr.'!A55</f>
        <v>Mancato rispetto periodo preavviso licenziamento</v>
      </c>
      <c r="B118" s="84"/>
      <c r="C118" s="84">
        <f>'[1]Beschr-Descr.'!C55</f>
        <v>0</v>
      </c>
      <c r="D118" s="84">
        <f>'[1]Beschr-Descr.'!D55</f>
        <v>0</v>
      </c>
      <c r="E118" s="207">
        <f>'[1]Beschr-Descr.'!E55</f>
        <v>0</v>
      </c>
    </row>
    <row r="119" spans="1:5" x14ac:dyDescent="0.2">
      <c r="A119" s="84" t="str">
        <f>'[1]Beschr-Descr.'!A56</f>
        <v>Una Tantum</v>
      </c>
      <c r="B119" s="84"/>
      <c r="C119" s="84">
        <f>'[1]Beschr-Descr.'!C56</f>
        <v>0</v>
      </c>
      <c r="D119" s="84">
        <f>'[1]Beschr-Descr.'!D56</f>
        <v>0</v>
      </c>
      <c r="E119" s="207">
        <f>'[1]Beschr-Descr.'!E56</f>
        <v>0</v>
      </c>
    </row>
    <row r="120" spans="1:5" x14ac:dyDescent="0.2">
      <c r="A120" s="84" t="str">
        <f>'[1]Beschr-Descr.'!A57</f>
        <v>Premio</v>
      </c>
      <c r="B120" s="84"/>
      <c r="C120" s="84">
        <f>'[1]Beschr-Descr.'!C57</f>
        <v>0</v>
      </c>
      <c r="D120" s="84">
        <f>'[1]Beschr-Descr.'!D57</f>
        <v>0</v>
      </c>
      <c r="E120" s="207">
        <f>'[1]Beschr-Descr.'!E57</f>
        <v>0</v>
      </c>
    </row>
    <row r="121" spans="1:5" x14ac:dyDescent="0.2">
      <c r="A121" s="84">
        <f>'[1]Beschr-Descr.'!A58</f>
        <v>0</v>
      </c>
      <c r="B121" s="84"/>
      <c r="C121" s="84">
        <f>'[1]Beschr-Descr.'!C58</f>
        <v>0</v>
      </c>
      <c r="D121" s="84">
        <f>'[1]Beschr-Descr.'!D58</f>
        <v>0</v>
      </c>
      <c r="E121" s="207">
        <f>'[1]Beschr-Descr.'!E58</f>
        <v>0</v>
      </c>
    </row>
    <row r="122" spans="1:5" x14ac:dyDescent="0.2">
      <c r="A122">
        <f>'[1]Beschr-Descr.'!A63</f>
        <v>0</v>
      </c>
    </row>
    <row r="123" spans="1:5" x14ac:dyDescent="0.2">
      <c r="A123">
        <f>'[1]Beschr-Descr.'!A64</f>
        <v>0</v>
      </c>
    </row>
    <row r="124" spans="1:5" x14ac:dyDescent="0.2">
      <c r="A124">
        <v>0</v>
      </c>
    </row>
    <row r="125" spans="1:5" x14ac:dyDescent="0.2">
      <c r="A125">
        <v>0</v>
      </c>
    </row>
    <row r="126" spans="1:5" x14ac:dyDescent="0.2">
      <c r="A126">
        <v>0</v>
      </c>
    </row>
    <row r="127" spans="1:5" x14ac:dyDescent="0.2">
      <c r="A127">
        <v>0</v>
      </c>
    </row>
    <row r="128" spans="1:5" x14ac:dyDescent="0.2">
      <c r="A128">
        <v>0</v>
      </c>
    </row>
    <row r="129" spans="1:1" x14ac:dyDescent="0.2">
      <c r="A129">
        <v>0</v>
      </c>
    </row>
    <row r="130" spans="1:1" x14ac:dyDescent="0.2">
      <c r="A130">
        <v>0</v>
      </c>
    </row>
    <row r="131" spans="1:1" x14ac:dyDescent="0.2">
      <c r="A131">
        <v>0</v>
      </c>
    </row>
    <row r="132" spans="1:1" x14ac:dyDescent="0.2">
      <c r="A132">
        <v>0</v>
      </c>
    </row>
    <row r="133" spans="1:1" x14ac:dyDescent="0.2">
      <c r="A133">
        <v>0</v>
      </c>
    </row>
    <row r="134" spans="1:1" x14ac:dyDescent="0.2">
      <c r="A134">
        <v>0</v>
      </c>
    </row>
    <row r="135" spans="1:1" x14ac:dyDescent="0.2">
      <c r="A135">
        <v>0</v>
      </c>
    </row>
    <row r="136" spans="1:1" x14ac:dyDescent="0.2">
      <c r="A136">
        <v>0</v>
      </c>
    </row>
    <row r="137" spans="1:1" x14ac:dyDescent="0.2">
      <c r="A137">
        <v>0</v>
      </c>
    </row>
    <row r="138" spans="1:1" x14ac:dyDescent="0.2">
      <c r="A138">
        <v>0</v>
      </c>
    </row>
    <row r="139" spans="1:1" x14ac:dyDescent="0.2">
      <c r="A139">
        <v>0</v>
      </c>
    </row>
    <row r="140" spans="1:1" x14ac:dyDescent="0.2">
      <c r="A140">
        <v>0</v>
      </c>
    </row>
    <row r="141" spans="1:1" x14ac:dyDescent="0.2">
      <c r="A141">
        <v>0</v>
      </c>
    </row>
    <row r="142" spans="1:1" x14ac:dyDescent="0.2">
      <c r="A142">
        <v>0</v>
      </c>
    </row>
    <row r="143" spans="1:1" x14ac:dyDescent="0.2">
      <c r="A143">
        <v>0</v>
      </c>
    </row>
    <row r="144" spans="1:1" x14ac:dyDescent="0.2">
      <c r="A144">
        <v>0</v>
      </c>
    </row>
    <row r="145" spans="1:1" x14ac:dyDescent="0.2">
      <c r="A145">
        <v>0</v>
      </c>
    </row>
    <row r="146" spans="1:1" x14ac:dyDescent="0.2">
      <c r="A146">
        <v>0</v>
      </c>
    </row>
    <row r="147" spans="1:1" x14ac:dyDescent="0.2">
      <c r="A147">
        <v>0</v>
      </c>
    </row>
    <row r="148" spans="1:1" x14ac:dyDescent="0.2">
      <c r="A148">
        <v>0</v>
      </c>
    </row>
    <row r="149" spans="1:1" x14ac:dyDescent="0.2">
      <c r="A149">
        <v>0</v>
      </c>
    </row>
    <row r="150" spans="1:1" x14ac:dyDescent="0.2">
      <c r="A150">
        <v>0</v>
      </c>
    </row>
    <row r="151" spans="1:1" x14ac:dyDescent="0.2">
      <c r="A151">
        <v>0</v>
      </c>
    </row>
    <row r="152" spans="1:1" x14ac:dyDescent="0.2">
      <c r="A152">
        <v>0</v>
      </c>
    </row>
    <row r="153" spans="1:1" x14ac:dyDescent="0.2">
      <c r="A153">
        <v>0</v>
      </c>
    </row>
    <row r="154" spans="1:1" x14ac:dyDescent="0.2">
      <c r="A154">
        <v>0</v>
      </c>
    </row>
    <row r="155" spans="1:1" x14ac:dyDescent="0.2">
      <c r="A155">
        <v>0</v>
      </c>
    </row>
    <row r="156" spans="1:1" x14ac:dyDescent="0.2">
      <c r="A156">
        <v>0</v>
      </c>
    </row>
    <row r="157" spans="1:1" x14ac:dyDescent="0.2">
      <c r="A157">
        <v>0</v>
      </c>
    </row>
    <row r="158" spans="1:1" x14ac:dyDescent="0.2">
      <c r="A158">
        <v>0</v>
      </c>
    </row>
    <row r="159" spans="1:1" x14ac:dyDescent="0.2">
      <c r="A159">
        <v>0</v>
      </c>
    </row>
    <row r="160" spans="1:1" x14ac:dyDescent="0.2">
      <c r="A160">
        <v>0</v>
      </c>
    </row>
    <row r="161" spans="1:1" x14ac:dyDescent="0.2">
      <c r="A161">
        <v>0</v>
      </c>
    </row>
  </sheetData>
  <mergeCells count="67">
    <mergeCell ref="U53:U54"/>
    <mergeCell ref="S53:S54"/>
    <mergeCell ref="T53:T54"/>
    <mergeCell ref="Q53:R53"/>
    <mergeCell ref="N60:O60"/>
    <mergeCell ref="J54:O54"/>
    <mergeCell ref="J57:O57"/>
    <mergeCell ref="N55:O55"/>
    <mergeCell ref="N56:O56"/>
    <mergeCell ref="N58:O58"/>
    <mergeCell ref="N59:O59"/>
    <mergeCell ref="O50:O51"/>
    <mergeCell ref="J52:O52"/>
    <mergeCell ref="U41:U43"/>
    <mergeCell ref="Q41:R42"/>
    <mergeCell ref="S41:S43"/>
    <mergeCell ref="T41:T43"/>
    <mergeCell ref="L50:L51"/>
    <mergeCell ref="E44:F44"/>
    <mergeCell ref="E45:F45"/>
    <mergeCell ref="E52:F52"/>
    <mergeCell ref="N50:N51"/>
    <mergeCell ref="E50:F50"/>
    <mergeCell ref="E51:F51"/>
    <mergeCell ref="E47:F47"/>
    <mergeCell ref="E49:F49"/>
    <mergeCell ref="M50:M51"/>
    <mergeCell ref="A26:C26"/>
    <mergeCell ref="A27:C27"/>
    <mergeCell ref="A28:C28"/>
    <mergeCell ref="A19:C19"/>
    <mergeCell ref="A20:C20"/>
    <mergeCell ref="A24:C24"/>
    <mergeCell ref="A25:C25"/>
    <mergeCell ref="A22:C22"/>
    <mergeCell ref="A21:C21"/>
    <mergeCell ref="A23:C23"/>
    <mergeCell ref="E59:F59"/>
    <mergeCell ref="E54:F54"/>
    <mergeCell ref="E58:F58"/>
    <mergeCell ref="E57:F57"/>
    <mergeCell ref="E56:F56"/>
    <mergeCell ref="E55:F55"/>
    <mergeCell ref="E9:F9"/>
    <mergeCell ref="K50:K51"/>
    <mergeCell ref="E3:F3"/>
    <mergeCell ref="E7:F7"/>
    <mergeCell ref="E5:F5"/>
    <mergeCell ref="E8:F8"/>
    <mergeCell ref="E16:F16"/>
    <mergeCell ref="E12:F12"/>
    <mergeCell ref="E11:F11"/>
    <mergeCell ref="E13:F13"/>
    <mergeCell ref="E14:F14"/>
    <mergeCell ref="E15:F15"/>
    <mergeCell ref="E18:F18"/>
    <mergeCell ref="E43:F43"/>
    <mergeCell ref="E46:F46"/>
    <mergeCell ref="E48:F48"/>
    <mergeCell ref="J1:O1"/>
    <mergeCell ref="J8:O9"/>
    <mergeCell ref="J10:J18"/>
    <mergeCell ref="K10:K18"/>
    <mergeCell ref="M10:M18"/>
    <mergeCell ref="N10:N18"/>
    <mergeCell ref="O10:O18"/>
    <mergeCell ref="L10:L18"/>
  </mergeCells>
  <phoneticPr fontId="2" type="noConversion"/>
  <dataValidations disablePrompts="1" count="2">
    <dataValidation type="list" allowBlank="1" showInputMessage="1" showErrorMessage="1" sqref="E19:E28" xr:uid="{00000000-0002-0000-0600-000000000000}">
      <formula1>$F$67:$F$70</formula1>
    </dataValidation>
    <dataValidation type="list" allowBlank="1" showInputMessage="1" showErrorMessage="1" sqref="A19:C28" xr:uid="{00000000-0002-0000-0600-000001000000}">
      <formula1>$A$67:$A$149</formula1>
    </dataValidation>
  </dataValidations>
  <printOptions horizontalCentered="1" verticalCentered="1"/>
  <pageMargins left="0.19685039370078741" right="0.19685039370078741" top="0.39370078740157483" bottom="0.39370078740157483" header="0" footer="0.19685039370078741"/>
  <pageSetup paperSize="9" orientation="portrait" r:id="rId1"/>
  <headerFooter alignWithMargins="0">
    <oddFooter>&amp;C&amp;"Calibri,Standard"Lohnberechnung FRINO PRO 2017 von Dr. Friedrich Nöckler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9220" r:id="rId4" name="Drop Down 4">
              <controlPr defaultSize="0" print="0" autoLine="0" autoPict="0">
                <anchor moveWithCells="1">
                  <from>
                    <xdr:col>6</xdr:col>
                    <xdr:colOff>0</xdr:colOff>
                    <xdr:row>2</xdr:row>
                    <xdr:rowOff>9525</xdr:rowOff>
                  </from>
                  <to>
                    <xdr:col>8</xdr:col>
                    <xdr:colOff>542925</xdr:colOff>
                    <xdr:row>3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8"/>
  <dimension ref="A1:Z161"/>
  <sheetViews>
    <sheetView showGridLines="0" showZeros="0" zoomScaleNormal="100" workbookViewId="0"/>
  </sheetViews>
  <sheetFormatPr baseColWidth="10" defaultRowHeight="12.75" x14ac:dyDescent="0.2"/>
  <cols>
    <col min="1" max="1" width="11.28515625" customWidth="1"/>
    <col min="2" max="2" width="11.7109375" customWidth="1"/>
    <col min="3" max="3" width="10.85546875" customWidth="1"/>
    <col min="4" max="4" width="11.28515625" customWidth="1"/>
    <col min="5" max="5" width="5.42578125" customWidth="1"/>
    <col min="6" max="6" width="6" customWidth="1"/>
    <col min="7" max="7" width="11.140625" customWidth="1"/>
    <col min="8" max="8" width="9.85546875" customWidth="1"/>
    <col min="9" max="9" width="9.140625" customWidth="1"/>
    <col min="10" max="10" width="2.5703125" style="277" customWidth="1"/>
    <col min="11" max="15" width="2.140625" customWidth="1"/>
    <col min="16" max="16" width="2.28515625" customWidth="1"/>
    <col min="17" max="17" width="11.28515625" customWidth="1"/>
    <col min="18" max="18" width="10.7109375" customWidth="1"/>
    <col min="19" max="19" width="9" bestFit="1" customWidth="1"/>
    <col min="20" max="20" width="11.28515625" bestFit="1" customWidth="1"/>
    <col min="21" max="21" width="8.5703125" bestFit="1" customWidth="1"/>
    <col min="22" max="24" width="10.7109375" customWidth="1"/>
  </cols>
  <sheetData>
    <row r="1" spans="1:26" s="144" customFormat="1" ht="16.5" customHeight="1" x14ac:dyDescent="0.2">
      <c r="A1" s="316" t="s">
        <v>106</v>
      </c>
      <c r="B1" s="317"/>
      <c r="C1" s="317"/>
      <c r="D1" s="317"/>
      <c r="E1" s="317"/>
      <c r="F1" s="317"/>
      <c r="G1" s="317"/>
      <c r="H1" s="317"/>
      <c r="I1" s="318" t="s">
        <v>47</v>
      </c>
      <c r="J1" s="473">
        <f>[1]Firma!$A$17</f>
        <v>45474</v>
      </c>
      <c r="K1" s="473"/>
      <c r="L1" s="473"/>
      <c r="M1" s="473"/>
      <c r="N1" s="473"/>
      <c r="O1" s="474"/>
      <c r="P1" s="143"/>
      <c r="Q1" s="143"/>
      <c r="R1" s="143"/>
      <c r="S1" s="143"/>
      <c r="T1" s="143"/>
      <c r="U1" s="143"/>
      <c r="V1" s="143"/>
      <c r="W1" s="143"/>
      <c r="X1" s="143"/>
      <c r="Y1" s="143"/>
      <c r="Z1" s="143"/>
    </row>
    <row r="2" spans="1:26" s="124" customFormat="1" ht="12.75" customHeight="1" x14ac:dyDescent="0.2">
      <c r="A2" s="199" t="s">
        <v>107</v>
      </c>
      <c r="B2" s="200"/>
      <c r="C2" s="200"/>
      <c r="D2" s="201"/>
      <c r="E2" s="188" t="s">
        <v>132</v>
      </c>
      <c r="F2" s="202"/>
      <c r="G2" s="200"/>
      <c r="H2" s="200"/>
      <c r="I2" s="203"/>
      <c r="J2" s="302"/>
      <c r="K2" s="201"/>
      <c r="L2" s="201"/>
      <c r="M2" s="201"/>
      <c r="N2" s="200"/>
      <c r="O2" s="303"/>
      <c r="P2" s="121"/>
      <c r="Q2" s="121"/>
      <c r="R2" s="121"/>
      <c r="S2" s="121"/>
      <c r="T2" s="121"/>
      <c r="U2" s="121"/>
      <c r="V2" s="121"/>
      <c r="W2" s="121"/>
      <c r="X2" s="121"/>
      <c r="Y2" s="121"/>
      <c r="Z2" s="121"/>
    </row>
    <row r="3" spans="1:26" ht="16.899999999999999" customHeight="1" x14ac:dyDescent="0.2">
      <c r="A3" s="88" t="s">
        <v>100</v>
      </c>
      <c r="B3" s="83" t="str">
        <f>[1]Firma!$A$4</f>
        <v>Asues GmbH</v>
      </c>
      <c r="C3" s="1"/>
      <c r="D3" s="1"/>
      <c r="E3" s="555" t="s">
        <v>126</v>
      </c>
      <c r="F3" s="556"/>
      <c r="G3" s="1" t="str">
        <f>VLOOKUP(P3,'[1]Mit-1'!$A$5:$B$19,2,FALSE)</f>
        <v>AAAAA BBBBB</v>
      </c>
      <c r="H3" s="1"/>
      <c r="I3" s="2"/>
      <c r="J3" s="304"/>
      <c r="K3" s="72"/>
      <c r="L3" s="72"/>
      <c r="M3" s="72"/>
      <c r="N3" s="72"/>
      <c r="O3" s="134"/>
      <c r="P3" s="72">
        <v>1</v>
      </c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0.5" customHeight="1" x14ac:dyDescent="0.2">
      <c r="A4" s="87" t="s">
        <v>101</v>
      </c>
      <c r="B4" s="3" t="str">
        <f>[1]Firma!$B$4</f>
        <v>Josef-Ferrari-Straße 12; 39031 Bruneck (BZ)</v>
      </c>
      <c r="C4" s="3"/>
      <c r="D4" s="3"/>
      <c r="E4" s="187" t="s">
        <v>127</v>
      </c>
      <c r="G4" s="30" t="str">
        <f>VLOOKUP($P$3,'[1]Mit-1'!$A$5:$U$19,3,FALSE)</f>
        <v>Michael-Pacher-Straße 10, 39031 Bruneck</v>
      </c>
      <c r="I4" s="134"/>
      <c r="N4" s="1"/>
      <c r="O4" s="2"/>
      <c r="P4" s="1"/>
      <c r="V4" s="1"/>
      <c r="W4" s="1"/>
      <c r="X4" s="1"/>
      <c r="Y4" s="1"/>
      <c r="Z4" s="1"/>
    </row>
    <row r="5" spans="1:26" ht="16.899999999999999" customHeight="1" x14ac:dyDescent="0.2">
      <c r="A5" s="88" t="s">
        <v>102</v>
      </c>
      <c r="B5" s="288" t="str">
        <f>[1]Firma!$C$4</f>
        <v>IT09997110213</v>
      </c>
      <c r="C5" s="3"/>
      <c r="D5" s="3"/>
      <c r="E5" s="555" t="s">
        <v>103</v>
      </c>
      <c r="F5" s="556"/>
      <c r="G5" s="30" t="str">
        <f>VLOOKUP($P$3,'[1]Mit-1'!$A$5:$U$19,6,FALSE)</f>
        <v>AAABBB84B11B220G</v>
      </c>
      <c r="I5" s="2"/>
      <c r="K5" s="1"/>
      <c r="L5" s="1"/>
      <c r="M5" s="1"/>
      <c r="N5" s="1"/>
      <c r="O5" s="2"/>
      <c r="P5" s="1"/>
      <c r="Q5" s="546" t="s">
        <v>136</v>
      </c>
      <c r="R5" s="547"/>
      <c r="S5" s="548"/>
      <c r="T5" s="1"/>
      <c r="U5" s="1"/>
      <c r="V5" s="1"/>
      <c r="W5" s="1"/>
      <c r="X5" s="1"/>
      <c r="Y5" s="1"/>
      <c r="Z5" s="1"/>
    </row>
    <row r="6" spans="1:26" ht="16.899999999999999" customHeight="1" x14ac:dyDescent="0.2">
      <c r="A6" s="88" t="s">
        <v>103</v>
      </c>
      <c r="B6" s="288" t="str">
        <f>[1]Firma!$D$4</f>
        <v>09997110213</v>
      </c>
      <c r="C6" s="3"/>
      <c r="D6" s="3"/>
      <c r="E6" s="187" t="s">
        <v>128</v>
      </c>
      <c r="G6" s="149">
        <f>VLOOKUP($P$3,'[1]Mit-1'!$A$28:$C$42,3,FALSE)</f>
        <v>1</v>
      </c>
      <c r="H6" s="89" t="s">
        <v>9</v>
      </c>
      <c r="I6" s="54">
        <f>VLOOKUP($P$3,'[1]Mit-1'!$A$5:$U$19,7,FALSE)</f>
        <v>45597</v>
      </c>
      <c r="N6" s="1"/>
      <c r="O6" s="2"/>
      <c r="P6" s="1"/>
      <c r="Q6" s="549"/>
      <c r="R6" s="550"/>
      <c r="S6" s="551"/>
      <c r="T6" s="1"/>
      <c r="U6" s="1"/>
      <c r="V6" s="1"/>
      <c r="W6" s="1"/>
      <c r="X6" s="1"/>
      <c r="Y6" s="1"/>
      <c r="Z6" s="1"/>
    </row>
    <row r="7" spans="1:26" ht="16.899999999999999" customHeight="1" x14ac:dyDescent="0.2">
      <c r="A7" s="87" t="s">
        <v>104</v>
      </c>
      <c r="B7" s="288" t="str">
        <f>[1]Firma!$E$4</f>
        <v>1420030006</v>
      </c>
      <c r="C7" s="3"/>
      <c r="D7" s="3"/>
      <c r="E7" s="555" t="s">
        <v>129</v>
      </c>
      <c r="F7" s="556"/>
      <c r="G7" s="36">
        <f>VLOOKUP($P$3,'[1]Mit-1'!$A$5:$U$19,4,FALSE)</f>
        <v>30723</v>
      </c>
      <c r="H7" s="90" t="s">
        <v>10</v>
      </c>
      <c r="I7" s="53" t="str">
        <f>VLOOKUP($P$3,'[1]Mit-1'!$A$5:$U$19,5,FALSE)</f>
        <v>Bruneck</v>
      </c>
      <c r="N7" s="1"/>
      <c r="O7" s="2"/>
      <c r="P7" s="1"/>
      <c r="Q7" s="552" t="s">
        <v>134</v>
      </c>
      <c r="R7" s="553"/>
      <c r="S7" s="554"/>
      <c r="T7" s="1"/>
      <c r="U7" s="1"/>
      <c r="V7" s="1"/>
      <c r="W7" s="1"/>
      <c r="X7" s="1"/>
      <c r="Y7" s="1"/>
      <c r="Z7" s="1"/>
    </row>
    <row r="8" spans="1:26" ht="16.899999999999999" customHeight="1" x14ac:dyDescent="0.2">
      <c r="A8" s="87" t="s">
        <v>105</v>
      </c>
      <c r="B8" s="288" t="str">
        <f>[1]Firma!$F$4</f>
        <v>13625</v>
      </c>
      <c r="C8" s="3"/>
      <c r="D8" s="3"/>
      <c r="E8" s="555" t="s">
        <v>130</v>
      </c>
      <c r="F8" s="556"/>
      <c r="G8" s="149">
        <f>VLOOKUP($P$3,'[1]Mit-2'!$A$5:$P$19,10,FALSE)</f>
        <v>2</v>
      </c>
      <c r="H8" s="91" t="s">
        <v>231</v>
      </c>
      <c r="I8" s="150">
        <f>VLOOKUP($P$3,'[1]Mit-2'!$A$46:$AD$60,24,FALSE)</f>
        <v>0</v>
      </c>
      <c r="J8" s="475" t="s">
        <v>226</v>
      </c>
      <c r="K8" s="476"/>
      <c r="L8" s="476"/>
      <c r="M8" s="476"/>
      <c r="N8" s="476"/>
      <c r="O8" s="477"/>
      <c r="P8" s="1"/>
      <c r="Q8" s="552"/>
      <c r="R8" s="553"/>
      <c r="S8" s="554"/>
      <c r="T8" s="1"/>
      <c r="U8" s="1"/>
      <c r="V8" s="1"/>
      <c r="W8" s="1"/>
      <c r="X8" s="1"/>
      <c r="Y8" s="1"/>
      <c r="Z8" s="1"/>
    </row>
    <row r="9" spans="1:26" ht="16.899999999999999" customHeight="1" x14ac:dyDescent="0.2">
      <c r="A9" s="135"/>
      <c r="B9" s="72"/>
      <c r="C9" s="72"/>
      <c r="D9" s="72"/>
      <c r="E9" s="555" t="s">
        <v>131</v>
      </c>
      <c r="F9" s="556"/>
      <c r="G9" s="447">
        <f>VLOOKUP($P$3,'[1]Mit-2'!$A$5:$AD$19,24,FALSE)</f>
        <v>100</v>
      </c>
      <c r="H9" s="90" t="s">
        <v>232</v>
      </c>
      <c r="I9" s="429"/>
      <c r="J9" s="478"/>
      <c r="K9" s="479"/>
      <c r="L9" s="479"/>
      <c r="M9" s="479"/>
      <c r="N9" s="479"/>
      <c r="O9" s="480"/>
      <c r="P9" s="1"/>
      <c r="Q9" s="198"/>
      <c r="R9" s="430"/>
      <c r="S9" s="2"/>
      <c r="T9" s="287">
        <f>[1]Firma!$B$17</f>
        <v>31</v>
      </c>
      <c r="U9" s="1"/>
      <c r="V9" s="1"/>
      <c r="W9" s="1"/>
      <c r="X9" s="1"/>
      <c r="Y9" s="1"/>
      <c r="Z9" s="1"/>
    </row>
    <row r="10" spans="1:26" ht="10.9" customHeight="1" x14ac:dyDescent="0.2">
      <c r="A10" s="189" t="s">
        <v>108</v>
      </c>
      <c r="B10" s="26"/>
      <c r="C10" s="26"/>
      <c r="D10" s="26"/>
      <c r="E10" s="26"/>
      <c r="F10" s="26"/>
      <c r="G10" s="26"/>
      <c r="H10" s="26"/>
      <c r="I10" s="190"/>
      <c r="J10" s="481" t="s">
        <v>227</v>
      </c>
      <c r="K10" s="484" t="s">
        <v>228</v>
      </c>
      <c r="L10" s="487" t="s">
        <v>229</v>
      </c>
      <c r="M10" s="487" t="s">
        <v>264</v>
      </c>
      <c r="N10" s="487" t="s">
        <v>265</v>
      </c>
      <c r="O10" s="557" t="s">
        <v>266</v>
      </c>
      <c r="P10" s="1"/>
      <c r="Q10" s="538" t="s">
        <v>207</v>
      </c>
      <c r="R10" s="539"/>
      <c r="S10" s="540"/>
      <c r="T10" s="1"/>
      <c r="U10" s="1"/>
      <c r="V10" s="1"/>
      <c r="W10" s="1"/>
      <c r="X10" s="1"/>
      <c r="Y10" s="1"/>
      <c r="Z10" s="1"/>
    </row>
    <row r="11" spans="1:26" s="94" customFormat="1" ht="13.9" customHeight="1" x14ac:dyDescent="0.15">
      <c r="A11" s="181" t="s">
        <v>16</v>
      </c>
      <c r="B11" s="182" t="s">
        <v>11</v>
      </c>
      <c r="C11" s="182" t="s">
        <v>12</v>
      </c>
      <c r="D11" s="182" t="s">
        <v>13</v>
      </c>
      <c r="E11" s="544" t="s">
        <v>14</v>
      </c>
      <c r="F11" s="545"/>
      <c r="G11" s="182" t="s">
        <v>15</v>
      </c>
      <c r="H11" s="183" t="s">
        <v>218</v>
      </c>
      <c r="I11" s="186"/>
      <c r="J11" s="482"/>
      <c r="K11" s="485"/>
      <c r="L11" s="488"/>
      <c r="M11" s="488"/>
      <c r="N11" s="488"/>
      <c r="O11" s="558"/>
      <c r="P11" s="93"/>
      <c r="Q11" s="541"/>
      <c r="R11" s="542"/>
      <c r="S11" s="543"/>
      <c r="T11" s="93"/>
      <c r="U11" s="93"/>
      <c r="V11" s="93"/>
      <c r="W11" s="93"/>
      <c r="X11" s="93"/>
      <c r="Y11" s="93"/>
      <c r="Z11" s="93"/>
    </row>
    <row r="12" spans="1:26" x14ac:dyDescent="0.2">
      <c r="A12" s="171">
        <f>VLOOKUP($G$8,'[1]Lohntab-Tab-retr.'!$A$7:$O$15,9,FALSE)</f>
        <v>1477.83</v>
      </c>
      <c r="B12" s="172">
        <f>VLOOKUP($G$8,'[1]Lohntab-Tab-retr.'!$A$21:$O$29,9,FALSE)</f>
        <v>532.54</v>
      </c>
      <c r="C12" s="172">
        <f>I8*VLOOKUP($G$8,'[1]Lohntab-Tab-retr.'!$A$63:$O$71,9,FALSE)</f>
        <v>0</v>
      </c>
      <c r="D12" s="172">
        <f>VLOOKUP($G$8,'[1]Lohntab-Tab-retr.'!$A$35:$O$43,9,FALSE)</f>
        <v>0</v>
      </c>
      <c r="E12" s="560">
        <f>VLOOKUP($G$8,'[1]Lohntab-Tab-retr.'!$A$49:$O$57,9,FALSE)</f>
        <v>8</v>
      </c>
      <c r="F12" s="560"/>
      <c r="G12" s="172">
        <f>VLOOKUP($P$3,'[1]Mit-2'!$A$24:$P$38,10,FALSE)</f>
        <v>0</v>
      </c>
      <c r="H12" s="172">
        <f>VLOOKUP($G$8,'[1]Lohntab-Tab-retr.'!$A$77:$O$85,9,FALSE)</f>
        <v>0</v>
      </c>
      <c r="I12" s="173"/>
      <c r="J12" s="482"/>
      <c r="K12" s="485"/>
      <c r="L12" s="488"/>
      <c r="M12" s="488"/>
      <c r="N12" s="488"/>
      <c r="O12" s="558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s="94" customFormat="1" ht="13.9" customHeight="1" x14ac:dyDescent="0.15">
      <c r="A13" s="168" t="s">
        <v>17</v>
      </c>
      <c r="B13" s="169" t="s">
        <v>18</v>
      </c>
      <c r="C13" s="169" t="s">
        <v>19</v>
      </c>
      <c r="D13" s="169" t="s">
        <v>20</v>
      </c>
      <c r="E13" s="561" t="s">
        <v>24</v>
      </c>
      <c r="F13" s="562"/>
      <c r="G13" s="169" t="s">
        <v>23</v>
      </c>
      <c r="H13" s="170" t="s">
        <v>21</v>
      </c>
      <c r="I13" s="177" t="s">
        <v>22</v>
      </c>
      <c r="J13" s="482"/>
      <c r="K13" s="485"/>
      <c r="L13" s="488"/>
      <c r="M13" s="488"/>
      <c r="N13" s="488"/>
      <c r="O13" s="558"/>
      <c r="P13" s="93"/>
      <c r="Q13" s="93"/>
      <c r="R13" s="93"/>
      <c r="S13" s="93"/>
      <c r="T13" s="93"/>
      <c r="U13" s="93"/>
      <c r="V13" s="93"/>
      <c r="W13" s="93"/>
      <c r="X13" s="93"/>
      <c r="Y13" s="93"/>
      <c r="Z13" s="93"/>
    </row>
    <row r="14" spans="1:26" x14ac:dyDescent="0.2">
      <c r="A14" s="178">
        <f>[1]Tab!G140</f>
        <v>168</v>
      </c>
      <c r="B14" s="240">
        <f>[1]Tab!G141</f>
        <v>26</v>
      </c>
      <c r="C14" s="179">
        <f>ROUND(I14/A14,5)</f>
        <v>12.014110000000001</v>
      </c>
      <c r="D14" s="179">
        <f>ROUND(I14/B14,5)</f>
        <v>77.629620000000003</v>
      </c>
      <c r="E14" s="563">
        <f>COUNT(K19:K49)</f>
        <v>0</v>
      </c>
      <c r="F14" s="563"/>
      <c r="G14" s="240">
        <f>K50</f>
        <v>0</v>
      </c>
      <c r="H14" s="240">
        <v>26</v>
      </c>
      <c r="I14" s="180">
        <f>SUM(A12:I12)</f>
        <v>2018.37</v>
      </c>
      <c r="J14" s="482"/>
      <c r="K14" s="485"/>
      <c r="L14" s="488"/>
      <c r="M14" s="488"/>
      <c r="N14" s="488"/>
      <c r="O14" s="558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</row>
    <row r="15" spans="1:26" s="94" customFormat="1" ht="13.9" customHeight="1" x14ac:dyDescent="0.15">
      <c r="A15" s="174" t="s">
        <v>26</v>
      </c>
      <c r="B15" s="175" t="s">
        <v>27</v>
      </c>
      <c r="C15" s="175" t="s">
        <v>25</v>
      </c>
      <c r="D15" s="175" t="s">
        <v>259</v>
      </c>
      <c r="E15" s="564" t="s">
        <v>260</v>
      </c>
      <c r="F15" s="565"/>
      <c r="G15" s="175" t="s">
        <v>261</v>
      </c>
      <c r="H15" s="146"/>
      <c r="I15" s="176"/>
      <c r="J15" s="482"/>
      <c r="K15" s="485"/>
      <c r="L15" s="488"/>
      <c r="M15" s="488"/>
      <c r="N15" s="488"/>
      <c r="O15" s="558"/>
      <c r="P15" s="93"/>
      <c r="Q15" s="93"/>
      <c r="R15" s="93"/>
      <c r="S15" s="93"/>
      <c r="T15" s="93"/>
      <c r="U15" s="93"/>
      <c r="V15" s="93"/>
      <c r="W15" s="93"/>
      <c r="X15" s="93"/>
      <c r="Y15" s="93"/>
      <c r="Z15" s="93"/>
    </row>
    <row r="16" spans="1:26" x14ac:dyDescent="0.2">
      <c r="A16" s="440">
        <f>'06'!A16+(VLOOKUP($P$3,'[1]Mit-2'!$A$90:$P$104,10,FALSE))*G9%</f>
        <v>0</v>
      </c>
      <c r="B16" s="438">
        <f>M50</f>
        <v>0</v>
      </c>
      <c r="C16" s="438">
        <f>A16-B16</f>
        <v>0</v>
      </c>
      <c r="D16" s="438">
        <f>'06'!D16+(VLOOKUP($P$3,'[1]Mit-2'!$A$90:$AD$104,24,FALSE))*G9%</f>
        <v>0</v>
      </c>
      <c r="E16" s="537">
        <f>N50</f>
        <v>0</v>
      </c>
      <c r="F16" s="537"/>
      <c r="G16" s="438">
        <f>D16-E16</f>
        <v>0</v>
      </c>
      <c r="H16" s="147"/>
      <c r="I16" s="185"/>
      <c r="J16" s="482"/>
      <c r="K16" s="485"/>
      <c r="L16" s="488"/>
      <c r="M16" s="488"/>
      <c r="N16" s="488"/>
      <c r="O16" s="558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</row>
    <row r="17" spans="1:26" ht="3.75" customHeight="1" x14ac:dyDescent="0.2">
      <c r="A17" s="167"/>
      <c r="B17" s="29"/>
      <c r="C17" s="29"/>
      <c r="D17" s="29"/>
      <c r="E17" s="29"/>
      <c r="F17" s="29"/>
      <c r="G17" s="29"/>
      <c r="H17" s="29"/>
      <c r="I17" s="35"/>
      <c r="J17" s="482"/>
      <c r="K17" s="485"/>
      <c r="L17" s="488"/>
      <c r="M17" s="488"/>
      <c r="N17" s="488"/>
      <c r="O17" s="558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s="92" customFormat="1" ht="16.899999999999999" customHeight="1" x14ac:dyDescent="0.15">
      <c r="A18" s="162" t="s">
        <v>28</v>
      </c>
      <c r="B18" s="163"/>
      <c r="C18" s="163"/>
      <c r="D18" s="96"/>
      <c r="E18" s="535" t="s">
        <v>29</v>
      </c>
      <c r="F18" s="536"/>
      <c r="G18" s="99" t="s">
        <v>31</v>
      </c>
      <c r="H18" s="86" t="s">
        <v>30</v>
      </c>
      <c r="I18" s="100" t="s">
        <v>233</v>
      </c>
      <c r="J18" s="483"/>
      <c r="K18" s="486"/>
      <c r="L18" s="489"/>
      <c r="M18" s="489"/>
      <c r="N18" s="489"/>
      <c r="O18" s="559"/>
      <c r="P18" s="97"/>
      <c r="V18" s="98"/>
      <c r="W18" s="98"/>
      <c r="X18" s="98"/>
      <c r="Y18" s="97"/>
      <c r="Z18" s="97"/>
    </row>
    <row r="19" spans="1:26" ht="12" customHeight="1" x14ac:dyDescent="0.2">
      <c r="A19" s="533"/>
      <c r="B19" s="534"/>
      <c r="C19" s="534"/>
      <c r="D19" s="417"/>
      <c r="E19" s="418"/>
      <c r="F19" s="419"/>
      <c r="G19" s="206">
        <f>VLOOKUP(A19,A66:F121,5,FALSE)</f>
        <v>0</v>
      </c>
      <c r="H19" s="308">
        <f>IF(E19="",0,IF(A19="",0,IF(E19="Std-ore",ROUND(C$14+C$14*G19,5),IF(E19="Tage-gg.",ROUND(D$14+D$14*G19,5),IF(E19="Monat-mese",ROUND($I$14+$I$14*G19,2))))))</f>
        <v>0</v>
      </c>
      <c r="I19" s="151">
        <f>ROUND(H19*F19,2)</f>
        <v>0</v>
      </c>
      <c r="J19" s="305">
        <v>1</v>
      </c>
      <c r="K19" s="409"/>
      <c r="L19" s="410"/>
      <c r="M19" s="410"/>
      <c r="N19" s="410"/>
      <c r="O19" s="411"/>
      <c r="P19" s="6"/>
      <c r="V19" s="1"/>
      <c r="W19" s="1"/>
      <c r="X19" s="1"/>
      <c r="Y19" s="7"/>
      <c r="Z19" s="6"/>
    </row>
    <row r="20" spans="1:26" ht="12" customHeight="1" x14ac:dyDescent="0.2">
      <c r="A20" s="526"/>
      <c r="B20" s="527"/>
      <c r="C20" s="527"/>
      <c r="D20" s="420"/>
      <c r="E20" s="421"/>
      <c r="F20" s="422"/>
      <c r="G20" s="206">
        <f>VLOOKUP(A20,A67:F122,5,FALSE)</f>
        <v>0</v>
      </c>
      <c r="H20" s="308">
        <f t="shared" ref="H20:H28" si="0">IF(E20="",0,IF(A20="",0,IF(E20="Std-ore",ROUND(C$14+C$14*G20,5),IF(E20="Tage-gg.",ROUND(D$14+D$14*G20,5),IF(E20="Monat-mese",ROUND($I$14+$I$14*G20,2))))))</f>
        <v>0</v>
      </c>
      <c r="I20" s="152">
        <f t="shared" ref="I20:I28" si="1">IF(A20="Abzug Bruttoberechnung Krankengeld INPS",ROUND(I19*G20,2),ROUND(H20*F20,2))</f>
        <v>0</v>
      </c>
      <c r="J20" s="306">
        <v>2</v>
      </c>
      <c r="K20" s="412"/>
      <c r="L20" s="413"/>
      <c r="M20" s="413"/>
      <c r="N20" s="413"/>
      <c r="O20" s="414"/>
      <c r="P20" s="6"/>
      <c r="V20" s="28"/>
      <c r="W20" s="6"/>
    </row>
    <row r="21" spans="1:26" ht="12" customHeight="1" x14ac:dyDescent="0.2">
      <c r="A21" s="526"/>
      <c r="B21" s="527"/>
      <c r="C21" s="527"/>
      <c r="D21" s="420"/>
      <c r="E21" s="421"/>
      <c r="F21" s="422"/>
      <c r="G21" s="206">
        <f>VLOOKUP(A21,A66:F121,5,FALSE)</f>
        <v>0</v>
      </c>
      <c r="H21" s="308">
        <f t="shared" si="0"/>
        <v>0</v>
      </c>
      <c r="I21" s="152">
        <f t="shared" si="1"/>
        <v>0</v>
      </c>
      <c r="J21" s="306">
        <v>3</v>
      </c>
      <c r="K21" s="412"/>
      <c r="L21" s="413"/>
      <c r="M21" s="413"/>
      <c r="N21" s="413"/>
      <c r="O21" s="414"/>
      <c r="P21" s="6"/>
      <c r="V21" s="28"/>
      <c r="W21" s="6"/>
    </row>
    <row r="22" spans="1:26" ht="12" customHeight="1" x14ac:dyDescent="0.2">
      <c r="A22" s="526"/>
      <c r="B22" s="527"/>
      <c r="C22" s="527"/>
      <c r="D22" s="420"/>
      <c r="E22" s="421"/>
      <c r="F22" s="422"/>
      <c r="G22" s="206">
        <f>VLOOKUP(A22,A67:F122,5,FALSE)</f>
        <v>0</v>
      </c>
      <c r="H22" s="308">
        <f>IF(E22="",0,IF(A22="",0,IF(E22="Std-ore",ROUND(C$14+C$14*G22,5),IF(E22="Tage-gg.",ROUND(D$14+D$14*G22,5),IF(E22="Monat-mese",ROUND($I$14+$I$14*G22,2))))))</f>
        <v>0</v>
      </c>
      <c r="I22" s="152">
        <f t="shared" si="1"/>
        <v>0</v>
      </c>
      <c r="J22" s="306">
        <v>4</v>
      </c>
      <c r="K22" s="412"/>
      <c r="L22" s="413"/>
      <c r="M22" s="413"/>
      <c r="N22" s="413"/>
      <c r="O22" s="414"/>
      <c r="P22" s="6"/>
      <c r="V22" s="28"/>
      <c r="W22" s="6"/>
    </row>
    <row r="23" spans="1:26" ht="12" customHeight="1" x14ac:dyDescent="0.2">
      <c r="A23" s="526"/>
      <c r="B23" s="527"/>
      <c r="C23" s="527"/>
      <c r="D23" s="420"/>
      <c r="E23" s="421"/>
      <c r="F23" s="422"/>
      <c r="G23" s="206">
        <f t="shared" ref="G23:G28" si="2">VLOOKUP(A23,A67:F122,5,FALSE)</f>
        <v>0</v>
      </c>
      <c r="H23" s="308">
        <f>IF(E23="",0,IF(A23="",0,IF(E23="Std-ore",ROUND(C$14+C$14*G23,5),IF(E23="Tage-gg.",ROUND(D$14+D$14*G23,5),IF(E23="Monat-mese",ROUND($I$14+$I$14*G23,2))))))</f>
        <v>0</v>
      </c>
      <c r="I23" s="152">
        <f t="shared" si="1"/>
        <v>0</v>
      </c>
      <c r="J23" s="306">
        <v>5</v>
      </c>
      <c r="K23" s="412"/>
      <c r="L23" s="413"/>
      <c r="M23" s="413"/>
      <c r="N23" s="413"/>
      <c r="O23" s="414"/>
      <c r="P23" s="6"/>
      <c r="V23" s="28"/>
      <c r="W23" s="6"/>
    </row>
    <row r="24" spans="1:26" ht="12" customHeight="1" x14ac:dyDescent="0.2">
      <c r="A24" s="526"/>
      <c r="B24" s="527"/>
      <c r="C24" s="527"/>
      <c r="D24" s="420"/>
      <c r="E24" s="421"/>
      <c r="F24" s="422"/>
      <c r="G24" s="206">
        <f t="shared" si="2"/>
        <v>0</v>
      </c>
      <c r="H24" s="308">
        <f t="shared" si="0"/>
        <v>0</v>
      </c>
      <c r="I24" s="152">
        <f t="shared" si="1"/>
        <v>0</v>
      </c>
      <c r="J24" s="306">
        <v>6</v>
      </c>
      <c r="K24" s="412"/>
      <c r="L24" s="413"/>
      <c r="M24" s="413"/>
      <c r="N24" s="413"/>
      <c r="O24" s="414"/>
      <c r="P24" s="6"/>
      <c r="V24" s="28"/>
      <c r="W24" s="6"/>
    </row>
    <row r="25" spans="1:26" ht="12" customHeight="1" x14ac:dyDescent="0.2">
      <c r="A25" s="526"/>
      <c r="B25" s="527"/>
      <c r="C25" s="527"/>
      <c r="D25" s="420"/>
      <c r="E25" s="421"/>
      <c r="F25" s="422"/>
      <c r="G25" s="206">
        <f t="shared" si="2"/>
        <v>0</v>
      </c>
      <c r="H25" s="308">
        <f t="shared" si="0"/>
        <v>0</v>
      </c>
      <c r="I25" s="152">
        <f t="shared" si="1"/>
        <v>0</v>
      </c>
      <c r="J25" s="306">
        <v>7</v>
      </c>
      <c r="K25" s="412"/>
      <c r="L25" s="413"/>
      <c r="M25" s="413"/>
      <c r="N25" s="413"/>
      <c r="O25" s="414"/>
      <c r="P25" s="6"/>
      <c r="W25" s="6"/>
    </row>
    <row r="26" spans="1:26" ht="12" customHeight="1" x14ac:dyDescent="0.2">
      <c r="A26" s="526"/>
      <c r="B26" s="527"/>
      <c r="C26" s="527"/>
      <c r="D26" s="420"/>
      <c r="E26" s="421"/>
      <c r="F26" s="422"/>
      <c r="G26" s="206">
        <f t="shared" si="2"/>
        <v>0</v>
      </c>
      <c r="H26" s="308">
        <f t="shared" si="0"/>
        <v>0</v>
      </c>
      <c r="I26" s="152">
        <f t="shared" si="1"/>
        <v>0</v>
      </c>
      <c r="J26" s="306">
        <v>8</v>
      </c>
      <c r="K26" s="412"/>
      <c r="L26" s="413"/>
      <c r="M26" s="413"/>
      <c r="N26" s="413"/>
      <c r="O26" s="414"/>
      <c r="P26" s="6"/>
      <c r="W26" s="6"/>
    </row>
    <row r="27" spans="1:26" ht="12" customHeight="1" x14ac:dyDescent="0.2">
      <c r="A27" s="526"/>
      <c r="B27" s="527"/>
      <c r="C27" s="527"/>
      <c r="D27" s="420"/>
      <c r="E27" s="421"/>
      <c r="F27" s="422"/>
      <c r="G27" s="206">
        <f t="shared" si="2"/>
        <v>0</v>
      </c>
      <c r="H27" s="308">
        <f t="shared" si="0"/>
        <v>0</v>
      </c>
      <c r="I27" s="152">
        <f t="shared" si="1"/>
        <v>0</v>
      </c>
      <c r="J27" s="306">
        <v>9</v>
      </c>
      <c r="K27" s="412"/>
      <c r="L27" s="413"/>
      <c r="M27" s="413"/>
      <c r="N27" s="413"/>
      <c r="O27" s="414"/>
      <c r="P27" s="6"/>
    </row>
    <row r="28" spans="1:26" ht="12" customHeight="1" x14ac:dyDescent="0.2">
      <c r="A28" s="526"/>
      <c r="B28" s="527"/>
      <c r="C28" s="527"/>
      <c r="D28" s="420"/>
      <c r="E28" s="421"/>
      <c r="F28" s="422"/>
      <c r="G28" s="206">
        <f t="shared" si="2"/>
        <v>0</v>
      </c>
      <c r="H28" s="308">
        <f t="shared" si="0"/>
        <v>0</v>
      </c>
      <c r="I28" s="152">
        <f t="shared" si="1"/>
        <v>0</v>
      </c>
      <c r="J28" s="306">
        <v>10</v>
      </c>
      <c r="K28" s="412"/>
      <c r="L28" s="413"/>
      <c r="M28" s="413"/>
      <c r="N28" s="413"/>
      <c r="O28" s="414"/>
      <c r="P28" s="6"/>
    </row>
    <row r="29" spans="1:26" ht="12" customHeight="1" x14ac:dyDescent="0.2">
      <c r="A29" s="119" t="s">
        <v>109</v>
      </c>
      <c r="B29" s="57"/>
      <c r="C29" s="57"/>
      <c r="D29" s="57"/>
      <c r="E29" s="57"/>
      <c r="F29" s="58"/>
      <c r="G29" s="57"/>
      <c r="H29" s="57"/>
      <c r="I29" s="154">
        <f>SUM(I19:I28)</f>
        <v>0</v>
      </c>
      <c r="J29" s="306">
        <v>11</v>
      </c>
      <c r="K29" s="412"/>
      <c r="L29" s="413"/>
      <c r="M29" s="413"/>
      <c r="N29" s="415"/>
      <c r="O29" s="416"/>
      <c r="P29" s="9"/>
    </row>
    <row r="30" spans="1:26" ht="12" customHeight="1" x14ac:dyDescent="0.2">
      <c r="A30" s="211" t="s">
        <v>236</v>
      </c>
      <c r="B30" s="55"/>
      <c r="C30" s="59"/>
      <c r="D30" s="59"/>
      <c r="E30" s="59"/>
      <c r="F30" s="102" t="s">
        <v>55</v>
      </c>
      <c r="G30" s="73">
        <f>ROUND(I29,0)</f>
        <v>0</v>
      </c>
      <c r="H30" s="164">
        <f>'[1]Mit-1'!$C$21</f>
        <v>9.1899999999999996E-2</v>
      </c>
      <c r="I30" s="151">
        <f>-ROUND(G30*H30,2)</f>
        <v>0</v>
      </c>
      <c r="J30" s="306">
        <v>12</v>
      </c>
      <c r="K30" s="412"/>
      <c r="L30" s="413"/>
      <c r="M30" s="413"/>
      <c r="N30" s="413"/>
      <c r="O30" s="414"/>
      <c r="P30" s="1"/>
      <c r="Z30" s="1"/>
    </row>
    <row r="31" spans="1:26" ht="12" customHeight="1" x14ac:dyDescent="0.2">
      <c r="A31" s="104" t="s">
        <v>237</v>
      </c>
      <c r="B31" s="61"/>
      <c r="C31" s="62"/>
      <c r="D31" s="62"/>
      <c r="E31" s="62"/>
      <c r="F31" s="103" t="s">
        <v>55</v>
      </c>
      <c r="G31" s="60">
        <f>ROUND(I29,2)</f>
        <v>0</v>
      </c>
      <c r="H31" s="165">
        <f>VLOOKUP($P$3,'[1]Mit-1'!$A$5:$U$19,19,FALSE)</f>
        <v>1.23E-2</v>
      </c>
      <c r="I31" s="152">
        <f>-ROUND(G31*H31,2)</f>
        <v>0</v>
      </c>
      <c r="J31" s="306">
        <v>13</v>
      </c>
      <c r="K31" s="412"/>
      <c r="L31" s="413"/>
      <c r="M31" s="413"/>
      <c r="N31" s="413"/>
      <c r="O31" s="414"/>
      <c r="P31" s="1"/>
      <c r="Z31" s="1"/>
    </row>
    <row r="32" spans="1:26" ht="12" customHeight="1" x14ac:dyDescent="0.2">
      <c r="A32" s="104" t="s">
        <v>234</v>
      </c>
      <c r="B32" s="61"/>
      <c r="C32" s="62"/>
      <c r="D32" s="62"/>
      <c r="E32" s="62"/>
      <c r="F32" s="103" t="s">
        <v>55</v>
      </c>
      <c r="G32" s="327">
        <f>IF(I29=0,0,IF(R9&gt;0,SUM(A12:B12)/T9*R9,SUM(A12:B12)))</f>
        <v>0</v>
      </c>
      <c r="H32" s="165">
        <f>'[1]Mit-1'!$I$21</f>
        <v>1E-3</v>
      </c>
      <c r="I32" s="152">
        <f>-ROUND(G32*H32,2)</f>
        <v>0</v>
      </c>
      <c r="J32" s="306">
        <v>14</v>
      </c>
      <c r="K32" s="412"/>
      <c r="L32" s="413"/>
      <c r="M32" s="413"/>
      <c r="N32" s="413"/>
      <c r="O32" s="414"/>
      <c r="P32" s="1"/>
      <c r="Z32" s="1"/>
    </row>
    <row r="33" spans="1:26" ht="12" customHeight="1" x14ac:dyDescent="0.2">
      <c r="A33" s="104" t="s">
        <v>235</v>
      </c>
      <c r="B33" s="61"/>
      <c r="C33" s="62"/>
      <c r="D33" s="62"/>
      <c r="E33" s="62"/>
      <c r="F33" s="103" t="s">
        <v>55</v>
      </c>
      <c r="G33" s="60">
        <f>G30</f>
        <v>0</v>
      </c>
      <c r="H33" s="165">
        <f>'[1]Mit-1'!$I$23</f>
        <v>4.0000000000000001E-3</v>
      </c>
      <c r="I33" s="152">
        <f>-ROUND(G33*H33,2)</f>
        <v>0</v>
      </c>
      <c r="J33" s="306">
        <v>15</v>
      </c>
      <c r="K33" s="412"/>
      <c r="L33" s="413"/>
      <c r="M33" s="413"/>
      <c r="N33" s="413"/>
      <c r="O33" s="414"/>
      <c r="P33" s="1"/>
      <c r="Z33" s="1"/>
    </row>
    <row r="34" spans="1:26" ht="12" customHeight="1" x14ac:dyDescent="0.2">
      <c r="A34" s="104" t="s">
        <v>258</v>
      </c>
      <c r="B34" s="61"/>
      <c r="C34" s="62"/>
      <c r="D34" s="62"/>
      <c r="E34" s="62"/>
      <c r="F34" s="394"/>
      <c r="G34" s="52"/>
      <c r="H34" s="395"/>
      <c r="I34" s="152">
        <f>-IF(I29=0,0,'[1]Mit-1'!$I$25)</f>
        <v>0</v>
      </c>
      <c r="J34" s="306">
        <v>16</v>
      </c>
      <c r="K34" s="412"/>
      <c r="L34" s="413"/>
      <c r="M34" s="413"/>
      <c r="N34" s="413"/>
      <c r="O34" s="414"/>
      <c r="P34" s="1"/>
      <c r="Z34" s="1"/>
    </row>
    <row r="35" spans="1:26" ht="12" customHeight="1" x14ac:dyDescent="0.2">
      <c r="A35" s="104" t="s">
        <v>110</v>
      </c>
      <c r="B35" s="10"/>
      <c r="C35" s="10"/>
      <c r="D35" s="10"/>
      <c r="E35" s="10"/>
      <c r="F35" s="10"/>
      <c r="G35" s="11"/>
      <c r="H35" s="63"/>
      <c r="I35" s="152">
        <f ca="1">-SUMIF($A$19:$C$28,"Krankheit INPS-Anteil*",$I$19:$I$28)</f>
        <v>0</v>
      </c>
      <c r="J35" s="306">
        <v>17</v>
      </c>
      <c r="K35" s="412"/>
      <c r="L35" s="413"/>
      <c r="M35" s="413"/>
      <c r="N35" s="413"/>
      <c r="O35" s="414"/>
      <c r="P35" s="6"/>
      <c r="Y35" s="6"/>
      <c r="Z35" s="6"/>
    </row>
    <row r="36" spans="1:26" ht="12" customHeight="1" x14ac:dyDescent="0.2">
      <c r="A36" s="104" t="s">
        <v>111</v>
      </c>
      <c r="B36" s="10"/>
      <c r="C36" s="10"/>
      <c r="D36" s="10"/>
      <c r="E36" s="10"/>
      <c r="F36" s="10"/>
      <c r="G36" s="11"/>
      <c r="H36" s="63"/>
      <c r="I36" s="152">
        <f ca="1">-SUMIF($A$19:$C$28,"Mutterschaft INPS-Anteil*",$I$19:$I$28)</f>
        <v>0</v>
      </c>
      <c r="J36" s="306">
        <v>18</v>
      </c>
      <c r="K36" s="412"/>
      <c r="L36" s="413"/>
      <c r="M36" s="413"/>
      <c r="N36" s="413"/>
      <c r="O36" s="414"/>
      <c r="P36" s="6"/>
      <c r="Y36" s="6"/>
      <c r="Z36" s="6"/>
    </row>
    <row r="37" spans="1:26" ht="12" customHeight="1" x14ac:dyDescent="0.2">
      <c r="A37" s="105" t="s">
        <v>112</v>
      </c>
      <c r="B37" s="10"/>
      <c r="C37" s="10"/>
      <c r="D37" s="10"/>
      <c r="E37" s="10"/>
      <c r="F37" s="10"/>
      <c r="G37" s="11"/>
      <c r="H37" s="52">
        <f>ROUND(IF(I29=0,0,VLOOKUP($P$3,'[1]Mit-1'!$A$5:$AD$19,12,FALSE)),2)</f>
        <v>0</v>
      </c>
      <c r="I37" s="439"/>
      <c r="J37" s="306">
        <v>19</v>
      </c>
      <c r="K37" s="412"/>
      <c r="L37" s="413"/>
      <c r="M37" s="413"/>
      <c r="N37" s="413"/>
      <c r="O37" s="414"/>
      <c r="P37" s="6"/>
      <c r="Y37" s="6"/>
      <c r="Z37" s="6"/>
    </row>
    <row r="38" spans="1:26" ht="12" customHeight="1" x14ac:dyDescent="0.2">
      <c r="A38" s="107" t="s">
        <v>113</v>
      </c>
      <c r="B38" s="10"/>
      <c r="C38" s="10"/>
      <c r="D38" s="10"/>
      <c r="E38" s="10"/>
      <c r="F38" s="10"/>
      <c r="G38" s="11"/>
      <c r="H38" s="237">
        <f ca="1">IF(SUM(I29:I37)-H37&lt;0,0,SUM(I29:I36)-H37)</f>
        <v>0</v>
      </c>
      <c r="I38" s="160"/>
      <c r="J38" s="306">
        <v>20</v>
      </c>
      <c r="K38" s="412"/>
      <c r="L38" s="413"/>
      <c r="M38" s="413"/>
      <c r="N38" s="413"/>
      <c r="O38" s="414"/>
      <c r="P38" s="6"/>
      <c r="Y38" s="6"/>
      <c r="Z38" s="6"/>
    </row>
    <row r="39" spans="1:26" ht="12" customHeight="1" x14ac:dyDescent="0.2">
      <c r="A39" s="211" t="s">
        <v>143</v>
      </c>
      <c r="B39" s="14"/>
      <c r="C39" s="14"/>
      <c r="D39" s="14"/>
      <c r="E39" s="14"/>
      <c r="F39" s="14"/>
      <c r="G39" s="14"/>
      <c r="H39" s="239">
        <f ca="1">-U50</f>
        <v>0</v>
      </c>
      <c r="I39" s="159"/>
      <c r="J39" s="306">
        <v>21</v>
      </c>
      <c r="K39" s="412"/>
      <c r="L39" s="413"/>
      <c r="M39" s="413"/>
      <c r="N39" s="413"/>
      <c r="O39" s="414"/>
      <c r="P39" s="6"/>
      <c r="R39" s="216"/>
      <c r="V39" s="6"/>
      <c r="W39" s="6"/>
      <c r="X39" s="6"/>
      <c r="Y39" s="6"/>
      <c r="Z39" s="6"/>
    </row>
    <row r="40" spans="1:26" ht="12" customHeight="1" x14ac:dyDescent="0.2">
      <c r="A40" s="104" t="s">
        <v>144</v>
      </c>
      <c r="B40" s="10"/>
      <c r="C40" s="10"/>
      <c r="D40" s="10"/>
      <c r="E40" s="10"/>
      <c r="F40" s="10"/>
      <c r="G40" s="10"/>
      <c r="H40" s="242">
        <f>ROUND(IF(I29=0,0,VLOOKUP($P$3,'[1]Mit-1'!$A$5:$AB$19,13,FALSE)/[1]Firma!$B$24*IF(R9=0,T9,R9)),2)</f>
        <v>0</v>
      </c>
      <c r="I40" s="156"/>
      <c r="J40" s="306">
        <v>22</v>
      </c>
      <c r="K40" s="412"/>
      <c r="L40" s="413"/>
      <c r="M40" s="413"/>
      <c r="N40" s="413"/>
      <c r="O40" s="414"/>
      <c r="P40" s="6"/>
      <c r="Q40" s="220"/>
      <c r="R40" s="216"/>
      <c r="S40" s="217"/>
      <c r="T40" s="218"/>
      <c r="U40" s="219"/>
      <c r="V40" s="6"/>
      <c r="W40" s="6"/>
      <c r="X40" s="6"/>
      <c r="Y40" s="6"/>
      <c r="Z40" s="6"/>
    </row>
    <row r="41" spans="1:26" ht="12" customHeight="1" x14ac:dyDescent="0.2">
      <c r="A41" s="110" t="s">
        <v>145</v>
      </c>
      <c r="B41" s="221"/>
      <c r="C41" s="221"/>
      <c r="D41" s="221"/>
      <c r="E41" s="221"/>
      <c r="F41" s="221"/>
      <c r="G41" s="221"/>
      <c r="H41" s="242">
        <f>ROUND(IF(I29=0,0,VLOOKUP($P$3,'[1]Mit-2'!$A$46:$P$60,3,FALSE)/12),2)</f>
        <v>0</v>
      </c>
      <c r="I41" s="286"/>
      <c r="J41" s="306">
        <v>23</v>
      </c>
      <c r="K41" s="412"/>
      <c r="L41" s="413"/>
      <c r="M41" s="413"/>
      <c r="N41" s="413"/>
      <c r="O41" s="414"/>
      <c r="P41" s="6"/>
      <c r="Q41" s="492" t="s">
        <v>4</v>
      </c>
      <c r="R41" s="493"/>
      <c r="S41" s="494" t="s">
        <v>7</v>
      </c>
      <c r="T41" s="498" t="s">
        <v>5</v>
      </c>
      <c r="U41" s="490" t="s">
        <v>2</v>
      </c>
      <c r="V41" s="6"/>
      <c r="W41" s="6"/>
      <c r="X41" s="6"/>
      <c r="Y41" s="6"/>
      <c r="Z41" s="6"/>
    </row>
    <row r="42" spans="1:26" ht="12" customHeight="1" x14ac:dyDescent="0.2">
      <c r="A42" s="108" t="s">
        <v>146</v>
      </c>
      <c r="B42" s="64"/>
      <c r="C42" s="64"/>
      <c r="D42" s="64"/>
      <c r="E42" s="64"/>
      <c r="F42" s="64"/>
      <c r="G42" s="64"/>
      <c r="H42" s="65"/>
      <c r="I42" s="157">
        <f ca="1">IF(SUM(H39:H41)&gt;=0,0,SUM(H39:H41))</f>
        <v>0</v>
      </c>
      <c r="J42" s="306">
        <v>24</v>
      </c>
      <c r="K42" s="412"/>
      <c r="L42" s="413"/>
      <c r="M42" s="413"/>
      <c r="N42" s="413"/>
      <c r="O42" s="414"/>
      <c r="P42" s="6"/>
      <c r="Q42" s="529"/>
      <c r="R42" s="530"/>
      <c r="S42" s="532"/>
      <c r="T42" s="531"/>
      <c r="U42" s="528"/>
      <c r="V42" s="6"/>
      <c r="W42" s="6"/>
      <c r="X42" s="6"/>
      <c r="Y42" s="6"/>
      <c r="Z42" s="6"/>
    </row>
    <row r="43" spans="1:26" ht="12" customHeight="1" x14ac:dyDescent="0.2">
      <c r="A43" s="106" t="s">
        <v>141</v>
      </c>
      <c r="B43" s="212"/>
      <c r="C43" s="10"/>
      <c r="D43" s="213"/>
      <c r="E43" s="574"/>
      <c r="F43" s="575"/>
      <c r="G43" s="214"/>
      <c r="H43" s="215" t="s">
        <v>33</v>
      </c>
      <c r="I43" s="151"/>
      <c r="J43" s="306">
        <v>25</v>
      </c>
      <c r="K43" s="412"/>
      <c r="L43" s="413"/>
      <c r="M43" s="413"/>
      <c r="N43" s="413"/>
      <c r="O43" s="414"/>
      <c r="P43" s="6"/>
      <c r="Q43" s="81" t="s">
        <v>0</v>
      </c>
      <c r="R43" s="82" t="s">
        <v>1</v>
      </c>
      <c r="S43" s="495"/>
      <c r="T43" s="499"/>
      <c r="U43" s="491"/>
      <c r="V43" s="6"/>
      <c r="W43" s="6"/>
      <c r="X43" s="6"/>
      <c r="Y43" s="6"/>
      <c r="Z43" s="6"/>
    </row>
    <row r="44" spans="1:26" ht="12" customHeight="1" x14ac:dyDescent="0.2">
      <c r="A44" s="104" t="s">
        <v>114</v>
      </c>
      <c r="B44" s="15"/>
      <c r="C44" s="8"/>
      <c r="D44" s="16"/>
      <c r="E44" s="582"/>
      <c r="F44" s="583"/>
      <c r="G44" s="17"/>
      <c r="H44" s="407"/>
      <c r="I44" s="158">
        <f>-H44</f>
        <v>0</v>
      </c>
      <c r="J44" s="306">
        <v>26</v>
      </c>
      <c r="K44" s="412"/>
      <c r="L44" s="413"/>
      <c r="M44" s="413"/>
      <c r="N44" s="413"/>
      <c r="O44" s="414"/>
      <c r="P44" s="6"/>
      <c r="Q44" s="78">
        <f>[1]Tab!E8</f>
        <v>0</v>
      </c>
      <c r="R44" s="74">
        <f>[1]Tab!F8</f>
        <v>1250</v>
      </c>
      <c r="S44" s="75">
        <f>[1]Tab!G8</f>
        <v>0.23</v>
      </c>
      <c r="T44" s="76">
        <f>ROUND(R44*S44,2)</f>
        <v>287.5</v>
      </c>
      <c r="U44" s="76">
        <f ca="1">ROUND(IF(AND($H$38&lt;=R44,$H$38&gt;0),$H$38*S44,0),2)</f>
        <v>0</v>
      </c>
      <c r="V44" s="6"/>
      <c r="W44" s="6"/>
      <c r="X44" s="6"/>
      <c r="Y44" s="6"/>
      <c r="Z44" s="6"/>
    </row>
    <row r="45" spans="1:26" s="1" customFormat="1" ht="12" customHeight="1" x14ac:dyDescent="0.2">
      <c r="A45" s="110" t="s">
        <v>115</v>
      </c>
      <c r="B45" s="18"/>
      <c r="C45" s="111" t="s">
        <v>224</v>
      </c>
      <c r="D45" s="19">
        <v>11</v>
      </c>
      <c r="E45" s="511"/>
      <c r="F45" s="512"/>
      <c r="G45" s="20"/>
      <c r="H45" s="24">
        <f>IF(I29=0,0,VLOOKUP($P$3,'[1]Mit-2'!$A$65:$P$79,10,FALSE))</f>
        <v>0</v>
      </c>
      <c r="I45" s="155">
        <f>IF($I$9="",ROUND(IF($I$29=0,0,-H45/D45),2),-Steuern!J51)</f>
        <v>0</v>
      </c>
      <c r="J45" s="306">
        <v>27</v>
      </c>
      <c r="K45" s="412"/>
      <c r="L45" s="413"/>
      <c r="M45" s="413"/>
      <c r="N45" s="413"/>
      <c r="O45" s="414"/>
      <c r="P45" s="6"/>
      <c r="Q45" s="78">
        <f>[1]Tab!E9</f>
        <v>1250.01</v>
      </c>
      <c r="R45" s="74">
        <f>[1]Tab!F9</f>
        <v>2333.33</v>
      </c>
      <c r="S45" s="75">
        <f>[1]Tab!G9</f>
        <v>0.23</v>
      </c>
      <c r="T45" s="76">
        <f>ROUND((R45-Q45)*S45+T44,2)</f>
        <v>536.66</v>
      </c>
      <c r="U45" s="76">
        <f ca="1">ROUND(IF(AND($H$38&lt;=R45,$H$38&gt;=Q45),T44+($H$38-R44)*S45,0),2)</f>
        <v>0</v>
      </c>
      <c r="V45" s="6"/>
      <c r="W45" s="6"/>
      <c r="X45" s="6"/>
      <c r="Y45" s="6"/>
      <c r="Z45" s="6"/>
    </row>
    <row r="46" spans="1:26" ht="12" customHeight="1" x14ac:dyDescent="0.2">
      <c r="A46" s="101" t="s">
        <v>142</v>
      </c>
      <c r="B46" s="13"/>
      <c r="C46" s="14"/>
      <c r="D46" s="12"/>
      <c r="E46" s="580"/>
      <c r="F46" s="581"/>
      <c r="G46" s="112"/>
      <c r="H46" s="113" t="s">
        <v>33</v>
      </c>
      <c r="I46" s="151"/>
      <c r="J46" s="306">
        <v>28</v>
      </c>
      <c r="K46" s="412"/>
      <c r="L46" s="413"/>
      <c r="M46" s="413"/>
      <c r="N46" s="413"/>
      <c r="O46" s="414"/>
      <c r="P46" s="6"/>
      <c r="Q46" s="78">
        <f>[1]Tab!E10</f>
        <v>2333.34</v>
      </c>
      <c r="R46" s="74">
        <f>[1]Tab!F10</f>
        <v>4166.67</v>
      </c>
      <c r="S46" s="75">
        <f>[1]Tab!G10</f>
        <v>0.35</v>
      </c>
      <c r="T46" s="76">
        <f>ROUND((R46-Q46)*S46+T45,2)</f>
        <v>1178.33</v>
      </c>
      <c r="U46" s="76">
        <f ca="1">ROUND(IF(AND($H$38&lt;=R46,$H$38&gt;=Q46),T45+($H$38-R45)*S46,0),2)</f>
        <v>0</v>
      </c>
      <c r="V46" s="6"/>
      <c r="W46" s="6"/>
      <c r="X46" s="6"/>
      <c r="Y46" s="6"/>
      <c r="Z46" s="6"/>
    </row>
    <row r="47" spans="1:26" ht="12" customHeight="1" x14ac:dyDescent="0.2">
      <c r="A47" s="104" t="s">
        <v>114</v>
      </c>
      <c r="B47" s="15"/>
      <c r="C47" s="8"/>
      <c r="D47" s="16"/>
      <c r="E47" s="511"/>
      <c r="F47" s="512"/>
      <c r="G47" s="17"/>
      <c r="H47" s="407"/>
      <c r="I47" s="152">
        <f>-H47</f>
        <v>0</v>
      </c>
      <c r="J47" s="306">
        <v>29</v>
      </c>
      <c r="K47" s="412"/>
      <c r="L47" s="413"/>
      <c r="M47" s="413"/>
      <c r="N47" s="413"/>
      <c r="O47" s="414"/>
      <c r="P47" s="1"/>
      <c r="Q47" s="78">
        <f>[1]Tab!E11</f>
        <v>4166.68</v>
      </c>
      <c r="R47" s="74">
        <f>[1]Tab!F11</f>
        <v>0</v>
      </c>
      <c r="S47" s="75">
        <f>[1]Tab!G11</f>
        <v>0.43</v>
      </c>
      <c r="T47" s="76"/>
      <c r="U47" s="76">
        <f ca="1">ROUND(IF(AND($H$38&lt;=R47,$H$38&gt;=Q47),T46+($H$38-R46)*S47,0),2)</f>
        <v>0</v>
      </c>
      <c r="V47" s="1"/>
      <c r="W47" s="1"/>
      <c r="X47" s="1"/>
      <c r="Y47" s="1"/>
      <c r="Z47" s="1"/>
    </row>
    <row r="48" spans="1:26" ht="12" customHeight="1" x14ac:dyDescent="0.2">
      <c r="A48" s="224" t="s">
        <v>115</v>
      </c>
      <c r="B48" s="225"/>
      <c r="C48" s="226" t="s">
        <v>53</v>
      </c>
      <c r="D48" s="227">
        <v>11</v>
      </c>
      <c r="E48" s="578"/>
      <c r="F48" s="579"/>
      <c r="G48" s="228"/>
      <c r="H48" s="339">
        <f>IF(I29=0,0,VLOOKUP($P$3,'[1]Mit-2'!$A$65:$AD$79,24,FALSE))</f>
        <v>0</v>
      </c>
      <c r="I48" s="155">
        <f>IF($I$9="",ROUND(IF($I$29=0,0,-H48/D48),2),-Steuern!N51)</f>
        <v>0</v>
      </c>
      <c r="J48" s="306">
        <v>30</v>
      </c>
      <c r="K48" s="412"/>
      <c r="L48" s="413"/>
      <c r="M48" s="413"/>
      <c r="N48" s="413"/>
      <c r="O48" s="414"/>
      <c r="P48" s="1"/>
      <c r="Q48" s="78">
        <f>[1]Tab!E12</f>
        <v>0</v>
      </c>
      <c r="R48" s="74"/>
      <c r="S48" s="75">
        <f>[1]Tab!G12</f>
        <v>0</v>
      </c>
      <c r="T48" s="77"/>
      <c r="U48" s="76">
        <f ca="1">ROUND(IF($H$38&gt;R47,T47+($H$38-R47)*S48,0),2)</f>
        <v>0</v>
      </c>
      <c r="V48" s="1"/>
      <c r="W48" s="1"/>
      <c r="X48" s="1"/>
      <c r="Y48" s="1"/>
      <c r="Z48" s="1"/>
    </row>
    <row r="49" spans="1:26" ht="12" customHeight="1" x14ac:dyDescent="0.2">
      <c r="A49" s="110" t="s">
        <v>147</v>
      </c>
      <c r="B49" s="231">
        <v>0.3</v>
      </c>
      <c r="C49" s="232">
        <f>H48</f>
        <v>0</v>
      </c>
      <c r="D49" s="233">
        <f>ROUND(C49*B49,2)</f>
        <v>0</v>
      </c>
      <c r="E49" s="514"/>
      <c r="F49" s="515"/>
      <c r="G49" s="234" t="s">
        <v>247</v>
      </c>
      <c r="H49" s="235">
        <v>9</v>
      </c>
      <c r="I49" s="393">
        <f>IF($I$9="",ROUND(IF($I$29=0,0,-D49/H49),2),-Steuern!R52)</f>
        <v>0</v>
      </c>
      <c r="J49" s="310">
        <v>31</v>
      </c>
      <c r="K49" s="412"/>
      <c r="L49" s="413"/>
      <c r="M49" s="413"/>
      <c r="N49" s="413"/>
      <c r="O49" s="414"/>
      <c r="P49" s="1"/>
      <c r="Q49" s="78">
        <f>[1]Tab!E13</f>
        <v>0</v>
      </c>
      <c r="R49" s="74"/>
      <c r="S49" s="75">
        <f>[1]Tab!G13</f>
        <v>0</v>
      </c>
      <c r="T49" s="77"/>
      <c r="U49" s="76">
        <f ca="1">ROUND(IF($H$38&gt;R48,T48+($H$38-R48)*S49,0),2)</f>
        <v>0</v>
      </c>
      <c r="V49" s="1"/>
      <c r="W49" s="1"/>
      <c r="X49" s="1"/>
      <c r="Y49" s="1"/>
      <c r="Z49" s="1"/>
    </row>
    <row r="50" spans="1:26" ht="12" customHeight="1" x14ac:dyDescent="0.2">
      <c r="A50" s="109" t="s">
        <v>139</v>
      </c>
      <c r="B50" s="21"/>
      <c r="C50" s="114" t="s">
        <v>34</v>
      </c>
      <c r="D50" s="114" t="s">
        <v>160</v>
      </c>
      <c r="E50" s="509" t="s">
        <v>161</v>
      </c>
      <c r="F50" s="510"/>
      <c r="G50" s="114" t="s">
        <v>162</v>
      </c>
      <c r="H50" s="230" t="s">
        <v>36</v>
      </c>
      <c r="I50" s="156"/>
      <c r="J50" s="311"/>
      <c r="K50" s="500">
        <f>SUM(K19:K49)</f>
        <v>0</v>
      </c>
      <c r="L50" s="496">
        <f>SUM(L19:L49)</f>
        <v>0</v>
      </c>
      <c r="M50" s="496">
        <f>SUM(M19:M49)</f>
        <v>0</v>
      </c>
      <c r="N50" s="496">
        <f>SUM(N19:N49)</f>
        <v>0</v>
      </c>
      <c r="O50" s="502">
        <f>SUM(O19:O49)</f>
        <v>0</v>
      </c>
      <c r="P50" s="6"/>
      <c r="Q50" s="208" t="s">
        <v>8</v>
      </c>
      <c r="R50" s="209"/>
      <c r="S50" s="79"/>
      <c r="T50" s="64"/>
      <c r="U50" s="80">
        <f ca="1">ROUND(SUM(U44:U47),2)</f>
        <v>0</v>
      </c>
      <c r="V50" s="6"/>
      <c r="W50" s="6"/>
      <c r="X50" s="6"/>
      <c r="Y50" s="6"/>
      <c r="Z50" s="6"/>
    </row>
    <row r="51" spans="1:26" ht="12" customHeight="1" x14ac:dyDescent="0.2">
      <c r="A51" s="104" t="s">
        <v>117</v>
      </c>
      <c r="B51" s="22"/>
      <c r="C51" s="60">
        <f>IF(I29=0,0,Steuern!J83)</f>
        <v>0</v>
      </c>
      <c r="D51" s="60">
        <f>IF(I29=0,0,Steuern!L83)</f>
        <v>0</v>
      </c>
      <c r="E51" s="511">
        <f>IF(I29=0,0,Steuern!N83)</f>
        <v>0</v>
      </c>
      <c r="F51" s="512"/>
      <c r="G51" s="60">
        <f>IF(I29=0,0,Steuern!P83)</f>
        <v>0</v>
      </c>
      <c r="H51" s="67">
        <f>IF(I29=0,0,Steuern!R83)</f>
        <v>0</v>
      </c>
      <c r="I51" s="156"/>
      <c r="J51" s="309"/>
      <c r="K51" s="501"/>
      <c r="L51" s="497"/>
      <c r="M51" s="497"/>
      <c r="N51" s="497"/>
      <c r="O51" s="503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</row>
    <row r="52" spans="1:26" ht="12" customHeight="1" x14ac:dyDescent="0.2">
      <c r="A52" s="110" t="s">
        <v>138</v>
      </c>
      <c r="B52" s="23"/>
      <c r="C52" s="68">
        <f>IF($I$9="",0,Steuern!J89)</f>
        <v>0</v>
      </c>
      <c r="D52" s="68">
        <f>U60</f>
        <v>0</v>
      </c>
      <c r="E52" s="520">
        <f>IF($I$9="",0,conguaglio!F60)</f>
        <v>0</v>
      </c>
      <c r="F52" s="521"/>
      <c r="G52" s="50">
        <f>IF($I$9="",0,conguaglio!G63)</f>
        <v>0</v>
      </c>
      <c r="H52" s="312">
        <f>IF((D52-E52-G52)&lt;0,0,D52-E52-G52)</f>
        <v>0</v>
      </c>
      <c r="I52" s="153">
        <f>IF($I$9="",0,H51-H52)</f>
        <v>0</v>
      </c>
      <c r="J52" s="504" t="s">
        <v>230</v>
      </c>
      <c r="K52" s="505"/>
      <c r="L52" s="505"/>
      <c r="M52" s="505"/>
      <c r="N52" s="505"/>
      <c r="O52" s="506"/>
      <c r="P52" s="6"/>
      <c r="Q52" s="6"/>
      <c r="R52" s="6"/>
      <c r="S52" s="6"/>
      <c r="T52" s="66"/>
      <c r="U52" s="6"/>
      <c r="V52" s="6"/>
      <c r="W52" s="6"/>
      <c r="X52" s="6"/>
      <c r="Y52" s="6"/>
      <c r="Z52" s="6"/>
    </row>
    <row r="53" spans="1:26" ht="12" customHeight="1" x14ac:dyDescent="0.2">
      <c r="A53" s="119" t="s">
        <v>119</v>
      </c>
      <c r="B53" s="26"/>
      <c r="C53" s="26"/>
      <c r="D53" s="26"/>
      <c r="E53" s="26"/>
      <c r="F53" s="26"/>
      <c r="G53" s="26"/>
      <c r="H53" s="26"/>
      <c r="I53" s="154">
        <f ca="1">SUM(I29:I52)</f>
        <v>0</v>
      </c>
      <c r="J53" s="307"/>
      <c r="O53" s="134"/>
      <c r="P53" s="3"/>
      <c r="Q53" s="492" t="s">
        <v>6</v>
      </c>
      <c r="R53" s="493"/>
      <c r="S53" s="494" t="s">
        <v>7</v>
      </c>
      <c r="T53" s="498" t="s">
        <v>5</v>
      </c>
      <c r="U53" s="490" t="s">
        <v>2</v>
      </c>
      <c r="V53" s="3"/>
      <c r="W53" s="3"/>
      <c r="X53" s="3"/>
      <c r="Y53" s="3"/>
      <c r="Z53" s="3"/>
    </row>
    <row r="54" spans="1:26" ht="12" customHeight="1" x14ac:dyDescent="0.2">
      <c r="A54" s="115" t="s">
        <v>120</v>
      </c>
      <c r="B54" s="95" t="s">
        <v>124</v>
      </c>
      <c r="C54" s="191">
        <f>IF($I$9="",0,VLOOKUP($P$3,'[1]Mit-1'!$A$5:$AD$19,22,FALSE))</f>
        <v>0</v>
      </c>
      <c r="D54" s="95" t="s">
        <v>38</v>
      </c>
      <c r="E54" s="522">
        <f>ROUND(IF($I$9="",0,Steuern!$D$89/13.5),2)</f>
        <v>0</v>
      </c>
      <c r="F54" s="523"/>
      <c r="G54" s="95" t="s">
        <v>40</v>
      </c>
      <c r="H54" s="192">
        <f>IF($I$9="",0,Steuern!$F$89)</f>
        <v>0</v>
      </c>
      <c r="I54" s="398">
        <f>C54+E54-H54</f>
        <v>0</v>
      </c>
      <c r="J54" s="568"/>
      <c r="K54" s="476"/>
      <c r="L54" s="476"/>
      <c r="M54" s="476"/>
      <c r="N54" s="476"/>
      <c r="O54" s="477"/>
      <c r="Q54" s="81" t="s">
        <v>0</v>
      </c>
      <c r="R54" s="82" t="s">
        <v>1</v>
      </c>
      <c r="S54" s="495"/>
      <c r="T54" s="499"/>
      <c r="U54" s="491"/>
      <c r="V54" s="1"/>
      <c r="W54" s="1"/>
      <c r="X54" s="1"/>
    </row>
    <row r="55" spans="1:26" ht="15" customHeight="1" x14ac:dyDescent="0.2">
      <c r="A55" s="116" t="s">
        <v>121</v>
      </c>
      <c r="B55" s="117" t="s">
        <v>37</v>
      </c>
      <c r="C55" s="405"/>
      <c r="D55" s="117" t="s">
        <v>39</v>
      </c>
      <c r="E55" s="524"/>
      <c r="F55" s="525"/>
      <c r="G55" s="117" t="s">
        <v>35</v>
      </c>
      <c r="H55" s="407"/>
      <c r="I55" s="399">
        <f>-(E55-H55)</f>
        <v>0</v>
      </c>
      <c r="J55" s="402"/>
      <c r="K55" s="401"/>
      <c r="L55" s="401"/>
      <c r="M55" s="401"/>
      <c r="N55" s="572"/>
      <c r="O55" s="573"/>
      <c r="Q55" s="78">
        <f>[1]Tab!A8</f>
        <v>0</v>
      </c>
      <c r="R55" s="74">
        <f>[1]Tab!D8</f>
        <v>15000</v>
      </c>
      <c r="S55" s="75">
        <f>S44</f>
        <v>0.23</v>
      </c>
      <c r="T55" s="76">
        <f>ROUND(R55*S55,2)</f>
        <v>3450</v>
      </c>
      <c r="U55" s="76">
        <f>ROUND(IF(AND($C$52&lt;=R55,C52&gt;0),$C$52*S55,0),2)</f>
        <v>0</v>
      </c>
      <c r="V55" s="1"/>
      <c r="W55" s="1"/>
      <c r="X55" s="1"/>
    </row>
    <row r="56" spans="1:26" ht="16.899999999999999" customHeight="1" x14ac:dyDescent="0.2">
      <c r="A56" s="453" t="s">
        <v>122</v>
      </c>
      <c r="B56" s="118" t="s">
        <v>125</v>
      </c>
      <c r="C56" s="454">
        <f>ROUND(C54*'[1]Mit-2'!$J$84%,2)</f>
        <v>0</v>
      </c>
      <c r="D56" s="118" t="s">
        <v>262</v>
      </c>
      <c r="E56" s="520">
        <f>ROUND(C56*[1]Tab!$G$142,2)</f>
        <v>0</v>
      </c>
      <c r="F56" s="521"/>
      <c r="G56" s="455"/>
      <c r="H56" s="456"/>
      <c r="I56" s="153">
        <f>C56-E56</f>
        <v>0</v>
      </c>
      <c r="J56" s="402"/>
      <c r="K56" s="401"/>
      <c r="L56" s="401"/>
      <c r="M56" s="401"/>
      <c r="N56" s="572"/>
      <c r="O56" s="573"/>
      <c r="Q56" s="78">
        <f>[1]Tab!A9</f>
        <v>15000.01</v>
      </c>
      <c r="R56" s="74">
        <f>[1]Tab!D9</f>
        <v>28000</v>
      </c>
      <c r="S56" s="75">
        <f>S45</f>
        <v>0.23</v>
      </c>
      <c r="T56" s="76">
        <f>ROUND((R56-Q56)*S56+T55,2)</f>
        <v>6440</v>
      </c>
      <c r="U56" s="76">
        <f>ROUND(IF(AND($C$52&lt;=R56,$C$52&gt;=Q56),T55+($C$52-R55)*S56,0),2)</f>
        <v>0</v>
      </c>
    </row>
    <row r="57" spans="1:26" ht="12.75" customHeight="1" x14ac:dyDescent="0.2">
      <c r="A57" s="448" t="s">
        <v>242</v>
      </c>
      <c r="B57" s="449"/>
      <c r="C57" s="449"/>
      <c r="D57" s="450"/>
      <c r="E57" s="518"/>
      <c r="F57" s="518"/>
      <c r="G57" s="450"/>
      <c r="H57" s="451"/>
      <c r="I57" s="452">
        <f ca="1">ROUND(IF(SUM(H39:H40)&gt;=0,0,VLOOKUP($P$3,'[1]Mit-1'!$A$5:$AC$19,20,FALSE)/[1]Firma!$C$24*IF(R9=0,T9,R9)),2)</f>
        <v>0</v>
      </c>
      <c r="J57" s="569"/>
      <c r="K57" s="570"/>
      <c r="L57" s="570"/>
      <c r="M57" s="570"/>
      <c r="N57" s="570"/>
      <c r="O57" s="571"/>
      <c r="P57" s="3"/>
      <c r="Q57" s="78">
        <f>[1]Tab!A10</f>
        <v>28000.01</v>
      </c>
      <c r="R57" s="74">
        <f>[1]Tab!D10</f>
        <v>50000</v>
      </c>
      <c r="S57" s="75">
        <f>S46</f>
        <v>0.35</v>
      </c>
      <c r="T57" s="76">
        <f>ROUND((R57-Q57)*S57+T56,2)</f>
        <v>14140</v>
      </c>
      <c r="U57" s="76">
        <f>ROUND(IF(AND($C$52&lt;=R57,$C$52&gt;=Q57),T56+($C$52-R56)*S57,0),2)</f>
        <v>0</v>
      </c>
      <c r="V57" s="3"/>
      <c r="W57" s="3"/>
      <c r="X57" s="3"/>
      <c r="Y57" s="3"/>
      <c r="Z57" s="3"/>
    </row>
    <row r="58" spans="1:26" ht="12.75" customHeight="1" x14ac:dyDescent="0.2">
      <c r="A58" s="465"/>
      <c r="B58" s="466"/>
      <c r="C58" s="466"/>
      <c r="D58" s="467"/>
      <c r="E58" s="519"/>
      <c r="F58" s="519"/>
      <c r="G58" s="467"/>
      <c r="H58" s="468"/>
      <c r="I58" s="469"/>
      <c r="J58" s="402"/>
      <c r="K58" s="401"/>
      <c r="L58" s="401"/>
      <c r="M58" s="401"/>
      <c r="N58" s="572"/>
      <c r="O58" s="573"/>
      <c r="P58" s="3"/>
      <c r="Q58" s="78">
        <f>[1]Tab!A11</f>
        <v>50000.01</v>
      </c>
      <c r="R58" s="74">
        <f>[1]Tab!D11</f>
        <v>0</v>
      </c>
      <c r="S58" s="75">
        <f>S47</f>
        <v>0.43</v>
      </c>
      <c r="T58" s="76"/>
      <c r="U58" s="76">
        <f>ROUND(IF(AND($C$52&lt;=R58,$C$52&gt;=Q58),T57+($C$52-R57)*S58,0),2)</f>
        <v>0</v>
      </c>
      <c r="V58" s="3"/>
      <c r="W58" s="3"/>
      <c r="X58" s="3"/>
      <c r="Y58" s="3"/>
      <c r="Z58" s="3"/>
    </row>
    <row r="59" spans="1:26" ht="12" customHeight="1" x14ac:dyDescent="0.2">
      <c r="A59" s="106" t="s">
        <v>123</v>
      </c>
      <c r="B59" s="8"/>
      <c r="C59" s="49"/>
      <c r="D59" s="117" t="s">
        <v>41</v>
      </c>
      <c r="E59" s="576">
        <f>-'14'!H59</f>
        <v>0</v>
      </c>
      <c r="F59" s="577"/>
      <c r="G59" s="117" t="s">
        <v>42</v>
      </c>
      <c r="H59" s="145">
        <f>IF(I29=0,0,SUM(I60-Q61))</f>
        <v>0</v>
      </c>
      <c r="I59" s="399">
        <f>IF(I29=0,0,SUM(E59,H59))</f>
        <v>0</v>
      </c>
      <c r="J59" s="402"/>
      <c r="K59" s="401"/>
      <c r="L59" s="401"/>
      <c r="M59" s="401"/>
      <c r="N59" s="572"/>
      <c r="O59" s="573"/>
      <c r="P59" s="3"/>
      <c r="Q59" s="78">
        <f>[1]Tab!A12</f>
        <v>0</v>
      </c>
      <c r="R59" s="74"/>
      <c r="S59" s="75">
        <f>S48</f>
        <v>0</v>
      </c>
      <c r="T59" s="77"/>
      <c r="U59" s="76">
        <f>ROUND(IF($C$52&gt;R58,T58+($C$52-R58)*S59,0),2)</f>
        <v>0</v>
      </c>
      <c r="V59" s="3"/>
      <c r="W59" s="3"/>
      <c r="X59" s="3"/>
      <c r="Y59" s="3"/>
      <c r="Z59" s="3"/>
    </row>
    <row r="60" spans="1:26" ht="12" customHeight="1" x14ac:dyDescent="0.2">
      <c r="A60" s="319" t="s">
        <v>43</v>
      </c>
      <c r="B60" s="320"/>
      <c r="C60" s="320"/>
      <c r="D60" s="320"/>
      <c r="E60" s="320"/>
      <c r="F60" s="320"/>
      <c r="G60" s="320"/>
      <c r="H60" s="320"/>
      <c r="I60" s="400">
        <f>IF(I29=0,0,ROUNDUP(Q61,0))</f>
        <v>0</v>
      </c>
      <c r="J60" s="403"/>
      <c r="K60" s="404"/>
      <c r="L60" s="404"/>
      <c r="M60" s="404"/>
      <c r="N60" s="566"/>
      <c r="O60" s="567"/>
      <c r="P60" s="6"/>
      <c r="Q60" s="208" t="s">
        <v>8</v>
      </c>
      <c r="R60" s="209"/>
      <c r="S60" s="79"/>
      <c r="T60" s="64"/>
      <c r="U60" s="80">
        <f>ROUND(SUM(U55:U59),2)</f>
        <v>0</v>
      </c>
      <c r="V60" s="6"/>
      <c r="W60" s="6"/>
      <c r="X60" s="6"/>
      <c r="Y60" s="6"/>
      <c r="Z60" s="6"/>
    </row>
    <row r="61" spans="1:26" ht="15" customHeight="1" x14ac:dyDescent="0.2">
      <c r="A61" s="1"/>
      <c r="B61" s="1"/>
      <c r="C61" s="1"/>
      <c r="D61" s="1"/>
      <c r="E61" s="1"/>
      <c r="F61" s="1"/>
      <c r="G61" s="1"/>
      <c r="H61" s="1"/>
      <c r="I61" s="1"/>
      <c r="K61" s="1"/>
      <c r="L61" s="1"/>
      <c r="M61" s="1"/>
      <c r="Q61" s="142">
        <f ca="1">SUM(I53:I58,E59)</f>
        <v>0</v>
      </c>
    </row>
    <row r="62" spans="1:26" x14ac:dyDescent="0.2">
      <c r="Q62" s="142"/>
    </row>
    <row r="63" spans="1:26" ht="15.75" customHeight="1" x14ac:dyDescent="0.2">
      <c r="Q63" s="142"/>
    </row>
    <row r="64" spans="1:26" x14ac:dyDescent="0.2">
      <c r="A64" s="71" t="str">
        <f>'[1]Beschr-Descr.'!A1</f>
        <v xml:space="preserve">Beschreibung Lohnelemente  </v>
      </c>
      <c r="Q64" s="142"/>
    </row>
    <row r="65" spans="1:6" x14ac:dyDescent="0.2">
      <c r="A65" s="71" t="str">
        <f>'[1]Beschr-Descr.'!A2</f>
        <v>Descrizione elementi di retribuzione</v>
      </c>
      <c r="F65" s="71" t="s">
        <v>3</v>
      </c>
    </row>
    <row r="66" spans="1:6" x14ac:dyDescent="0.2">
      <c r="A66" s="84">
        <f>'[1]Beschr-Descr.'!A3</f>
        <v>0</v>
      </c>
      <c r="B66" s="84">
        <f>'[1]Beschr-Descr.'!B3</f>
        <v>0</v>
      </c>
      <c r="C66" s="84">
        <f>'[1]Beschr-Descr.'!C3</f>
        <v>0</v>
      </c>
      <c r="D66" s="84">
        <f>'[1]Beschr-Descr.'!D3</f>
        <v>0</v>
      </c>
      <c r="E66" s="84">
        <f>'[1]Beschr-Descr.'!E3</f>
        <v>0</v>
      </c>
    </row>
    <row r="67" spans="1:6" x14ac:dyDescent="0.2">
      <c r="A67" s="84" t="str">
        <f>'[1]Beschr-Descr.'!A4</f>
        <v>Normalentlohnung</v>
      </c>
      <c r="B67" s="84"/>
      <c r="C67" s="84">
        <f>'[1]Beschr-Descr.'!C4</f>
        <v>0</v>
      </c>
      <c r="D67" s="84">
        <f>'[1]Beschr-Descr.'!D4</f>
        <v>0</v>
      </c>
      <c r="E67" s="207">
        <f>'[1]Beschr-Descr.'!E4</f>
        <v>0</v>
      </c>
      <c r="F67" t="s">
        <v>44</v>
      </c>
    </row>
    <row r="68" spans="1:6" x14ac:dyDescent="0.2">
      <c r="A68" s="84" t="str">
        <f>'[1]Beschr-Descr.'!A5</f>
        <v>Genossener Urlaub</v>
      </c>
      <c r="B68" s="84"/>
      <c r="C68" s="84">
        <f>'[1]Beschr-Descr.'!C5</f>
        <v>0</v>
      </c>
      <c r="D68" s="84">
        <f>'[1]Beschr-Descr.'!D5</f>
        <v>0</v>
      </c>
      <c r="E68" s="207">
        <f>'[1]Beschr-Descr.'!E5</f>
        <v>0</v>
      </c>
      <c r="F68" t="s">
        <v>45</v>
      </c>
    </row>
    <row r="69" spans="1:6" x14ac:dyDescent="0.2">
      <c r="A69" s="84" t="str">
        <f>'[1]Beschr-Descr.'!A6</f>
        <v>Genossene Freistellungen</v>
      </c>
      <c r="B69" s="84"/>
      <c r="C69" s="84">
        <f>'[1]Beschr-Descr.'!C6</f>
        <v>0</v>
      </c>
      <c r="D69" s="84">
        <f>'[1]Beschr-Descr.'!D6</f>
        <v>0</v>
      </c>
      <c r="E69" s="207">
        <f>'[1]Beschr-Descr.'!E6</f>
        <v>0</v>
      </c>
      <c r="F69" t="s">
        <v>46</v>
      </c>
    </row>
    <row r="70" spans="1:6" x14ac:dyDescent="0.2">
      <c r="A70" s="84" t="str">
        <f>'[1]Beschr-Descr.'!A7</f>
        <v>Nicht genossener Urlaub</v>
      </c>
      <c r="B70" s="84"/>
      <c r="C70" s="84">
        <f>'[1]Beschr-Descr.'!C7</f>
        <v>0</v>
      </c>
      <c r="D70" s="84">
        <f>'[1]Beschr-Descr.'!D7</f>
        <v>0</v>
      </c>
      <c r="E70" s="207">
        <f>'[1]Beschr-Descr.'!E7</f>
        <v>0</v>
      </c>
    </row>
    <row r="71" spans="1:6" x14ac:dyDescent="0.2">
      <c r="A71" s="84" t="str">
        <f>'[1]Beschr-Descr.'!A8</f>
        <v>Nicht genossene Freistellungen</v>
      </c>
      <c r="B71" s="84"/>
      <c r="C71" s="84">
        <f>'[1]Beschr-Descr.'!C8</f>
        <v>0</v>
      </c>
      <c r="D71" s="84">
        <f>'[1]Beschr-Descr.'!D8</f>
        <v>0</v>
      </c>
      <c r="E71" s="207">
        <f>'[1]Beschr-Descr.'!E8</f>
        <v>0</v>
      </c>
    </row>
    <row r="72" spans="1:6" x14ac:dyDescent="0.2">
      <c r="A72" s="84" t="str">
        <f>'[1]Beschr-Descr.'!A9</f>
        <v>Nicht genossene Feiertage</v>
      </c>
      <c r="B72" s="84"/>
      <c r="C72" s="84">
        <f>'[1]Beschr-Descr.'!C9</f>
        <v>0</v>
      </c>
      <c r="D72" s="84">
        <f>'[1]Beschr-Descr.'!D9</f>
        <v>0</v>
      </c>
      <c r="E72" s="207">
        <f>'[1]Beschr-Descr.'!E9</f>
        <v>0</v>
      </c>
    </row>
    <row r="73" spans="1:6" x14ac:dyDescent="0.2">
      <c r="A73" s="84" t="str">
        <f>'[1]Beschr-Descr.'!A10</f>
        <v>Zulage für Kassarisiko</v>
      </c>
      <c r="B73" s="84"/>
      <c r="C73" s="84">
        <f>'[1]Beschr-Descr.'!C10</f>
        <v>0</v>
      </c>
      <c r="D73" s="84">
        <f>'[1]Beschr-Descr.'!D10</f>
        <v>0</v>
      </c>
      <c r="E73" s="207">
        <f>'[1]Beschr-Descr.'!E10</f>
        <v>0</v>
      </c>
    </row>
    <row r="74" spans="1:6" x14ac:dyDescent="0.2">
      <c r="A74" s="84">
        <f>'[1]Beschr-Descr.'!A11</f>
        <v>0</v>
      </c>
      <c r="B74" s="84"/>
      <c r="C74" s="84">
        <f>'[1]Beschr-Descr.'!C11</f>
        <v>0</v>
      </c>
      <c r="D74" s="84">
        <f>'[1]Beschr-Descr.'!D11</f>
        <v>0</v>
      </c>
      <c r="E74" s="207">
        <f>'[1]Beschr-Descr.'!E11</f>
        <v>0</v>
      </c>
    </row>
    <row r="75" spans="1:6" x14ac:dyDescent="0.2">
      <c r="A75" s="84" t="str">
        <f>'[1]Beschr-Descr.'!A12</f>
        <v xml:space="preserve">Überstunden 15%  </v>
      </c>
      <c r="B75" s="84"/>
      <c r="C75" s="84">
        <f>'[1]Beschr-Descr.'!C12</f>
        <v>0</v>
      </c>
      <c r="D75" s="84">
        <f>'[1]Beschr-Descr.'!D12</f>
        <v>0</v>
      </c>
      <c r="E75" s="207">
        <f>'[1]Beschr-Descr.'!E12</f>
        <v>0.15</v>
      </c>
    </row>
    <row r="76" spans="1:6" x14ac:dyDescent="0.2">
      <c r="A76" s="84" t="str">
        <f>'[1]Beschr-Descr.'!A13</f>
        <v xml:space="preserve">Überstunden 20%  </v>
      </c>
      <c r="B76" s="84"/>
      <c r="C76" s="84">
        <f>'[1]Beschr-Descr.'!C13</f>
        <v>0</v>
      </c>
      <c r="D76" s="84">
        <f>'[1]Beschr-Descr.'!D13</f>
        <v>0</v>
      </c>
      <c r="E76" s="207">
        <f>'[1]Beschr-Descr.'!E13</f>
        <v>0.2</v>
      </c>
    </row>
    <row r="77" spans="1:6" x14ac:dyDescent="0.2">
      <c r="A77" s="84" t="str">
        <f>'[1]Beschr-Descr.'!A14</f>
        <v xml:space="preserve">Überstunden 30%  </v>
      </c>
      <c r="B77" s="84"/>
      <c r="C77" s="84">
        <f>'[1]Beschr-Descr.'!C14</f>
        <v>0</v>
      </c>
      <c r="D77" s="84">
        <f>'[1]Beschr-Descr.'!D14</f>
        <v>0</v>
      </c>
      <c r="E77" s="207">
        <f>'[1]Beschr-Descr.'!E14</f>
        <v>0.3</v>
      </c>
    </row>
    <row r="78" spans="1:6" x14ac:dyDescent="0.2">
      <c r="A78" s="84" t="str">
        <f>'[1]Beschr-Descr.'!A15</f>
        <v xml:space="preserve">Überstunden 50%  </v>
      </c>
      <c r="B78" s="84"/>
      <c r="C78" s="84">
        <f>'[1]Beschr-Descr.'!C15</f>
        <v>0</v>
      </c>
      <c r="D78" s="84">
        <f>'[1]Beschr-Descr.'!D15</f>
        <v>0</v>
      </c>
      <c r="E78" s="207">
        <f>'[1]Beschr-Descr.'!E15</f>
        <v>0.5</v>
      </c>
    </row>
    <row r="79" spans="1:6" x14ac:dyDescent="0.2">
      <c r="A79" s="84" t="str">
        <f>'[1]Beschr-Descr.'!A16</f>
        <v>Nachtstunden 50%</v>
      </c>
      <c r="B79" s="84"/>
      <c r="C79" s="84">
        <f>'[1]Beschr-Descr.'!C16</f>
        <v>0</v>
      </c>
      <c r="D79" s="84">
        <f>'[1]Beschr-Descr.'!D16</f>
        <v>0</v>
      </c>
      <c r="E79" s="207">
        <f>'[1]Beschr-Descr.'!E16</f>
        <v>0.5</v>
      </c>
    </row>
    <row r="80" spans="1:6" x14ac:dyDescent="0.2">
      <c r="A80" s="84">
        <f>'[1]Beschr-Descr.'!A17</f>
        <v>0</v>
      </c>
      <c r="B80" s="84"/>
      <c r="C80" s="84">
        <f>'[1]Beschr-Descr.'!C17</f>
        <v>0</v>
      </c>
      <c r="D80" s="84">
        <f>'[1]Beschr-Descr.'!D17</f>
        <v>0</v>
      </c>
      <c r="E80" s="207">
        <f>'[1]Beschr-Descr.'!E17</f>
        <v>0</v>
      </c>
    </row>
    <row r="81" spans="1:5" x14ac:dyDescent="0.2">
      <c r="A81" s="84" t="str">
        <f>'[1]Beschr-Descr.'!A18</f>
        <v>Krankheit gesamt</v>
      </c>
      <c r="B81" s="84"/>
      <c r="C81" s="84">
        <f>'[1]Beschr-Descr.'!C18</f>
        <v>0</v>
      </c>
      <c r="D81" s="84">
        <f>'[1]Beschr-Descr.'!D18</f>
        <v>0</v>
      </c>
      <c r="E81" s="207">
        <f>'[1]Beschr-Descr.'!E18</f>
        <v>0</v>
      </c>
    </row>
    <row r="82" spans="1:5" x14ac:dyDescent="0.2">
      <c r="A82" s="84" t="str">
        <f>'[1]Beschr-Descr.'!A19</f>
        <v xml:space="preserve">Krankheit INPS-Anteil 50,00% </v>
      </c>
      <c r="B82" s="84"/>
      <c r="C82" s="84">
        <f>'[1]Beschr-Descr.'!C19</f>
        <v>0</v>
      </c>
      <c r="D82" s="84">
        <f>'[1]Beschr-Descr.'!D19</f>
        <v>0</v>
      </c>
      <c r="E82" s="207">
        <f>'[1]Beschr-Descr.'!E19</f>
        <v>-0.5</v>
      </c>
    </row>
    <row r="83" spans="1:5" x14ac:dyDescent="0.2">
      <c r="A83" s="84" t="str">
        <f>'[1]Beschr-Descr.'!A20</f>
        <v xml:space="preserve">Krankheit INPS-Anteil 66,67% </v>
      </c>
      <c r="B83" s="84"/>
      <c r="C83" s="84">
        <f>'[1]Beschr-Descr.'!C20</f>
        <v>0</v>
      </c>
      <c r="D83" s="84">
        <f>'[1]Beschr-Descr.'!D20</f>
        <v>0</v>
      </c>
      <c r="E83" s="207">
        <f>'[1]Beschr-Descr.'!E20</f>
        <v>-0.66669999999999996</v>
      </c>
    </row>
    <row r="84" spans="1:5" x14ac:dyDescent="0.2">
      <c r="A84" s="84" t="str">
        <f>'[1]Beschr-Descr.'!A21</f>
        <v>Mutterschaft Gesamtbetrag</v>
      </c>
      <c r="B84" s="84"/>
      <c r="C84" s="84">
        <f>'[1]Beschr-Descr.'!C21</f>
        <v>0</v>
      </c>
      <c r="D84" s="84">
        <f>'[1]Beschr-Descr.'!D21</f>
        <v>0</v>
      </c>
      <c r="E84" s="207">
        <f>'[1]Beschr-Descr.'!E21</f>
        <v>0</v>
      </c>
    </row>
    <row r="85" spans="1:5" x14ac:dyDescent="0.2">
      <c r="A85" s="84" t="str">
        <f>'[1]Beschr-Descr.'!A22</f>
        <v>Mutterschaft INPS-Anteil 80,00%</v>
      </c>
      <c r="B85" s="84"/>
      <c r="C85" s="84">
        <f>'[1]Beschr-Descr.'!C22</f>
        <v>0</v>
      </c>
      <c r="D85" s="84">
        <f>'[1]Beschr-Descr.'!D22</f>
        <v>0</v>
      </c>
      <c r="E85" s="207">
        <f>'[1]Beschr-Descr.'!E22</f>
        <v>-0.8</v>
      </c>
    </row>
    <row r="86" spans="1:5" x14ac:dyDescent="0.2">
      <c r="A86" s="84" t="str">
        <f>'[1]Beschr-Descr.'!A23</f>
        <v>Abzug Bruttoberechnung Krankengeld INPS</v>
      </c>
      <c r="B86" s="84"/>
      <c r="C86" s="84">
        <f>'[1]Beschr-Descr.'!C23</f>
        <v>0</v>
      </c>
      <c r="D86" s="84">
        <f>'[1]Beschr-Descr.'!D23</f>
        <v>0</v>
      </c>
      <c r="E86" s="207">
        <f>'[1]Beschr-Descr.'!E23</f>
        <v>0.10120030833608633</v>
      </c>
    </row>
    <row r="87" spans="1:5" x14ac:dyDescent="0.2">
      <c r="A87" s="84">
        <f>'[1]Beschr-Descr.'!A24</f>
        <v>0</v>
      </c>
      <c r="B87" s="84"/>
      <c r="C87" s="84">
        <f>'[1]Beschr-Descr.'!C24</f>
        <v>0</v>
      </c>
      <c r="D87" s="84">
        <f>'[1]Beschr-Descr.'!D24</f>
        <v>0</v>
      </c>
      <c r="E87" s="207">
        <f>'[1]Beschr-Descr.'!E24</f>
        <v>0</v>
      </c>
    </row>
    <row r="88" spans="1:5" x14ac:dyDescent="0.2">
      <c r="A88" s="84" t="str">
        <f>'[1]Beschr-Descr.'!A25</f>
        <v xml:space="preserve">13. Monatsgehalt  </v>
      </c>
      <c r="B88" s="84"/>
      <c r="C88" s="84">
        <f>'[1]Beschr-Descr.'!C25</f>
        <v>0</v>
      </c>
      <c r="D88" s="84">
        <f>'[1]Beschr-Descr.'!D25</f>
        <v>0</v>
      </c>
      <c r="E88" s="207">
        <f>'[1]Beschr-Descr.'!E25</f>
        <v>0</v>
      </c>
    </row>
    <row r="89" spans="1:5" x14ac:dyDescent="0.2">
      <c r="A89" s="84" t="str">
        <f>'[1]Beschr-Descr.'!A26</f>
        <v xml:space="preserve">14. Monatsgehalt  </v>
      </c>
      <c r="B89" s="84"/>
      <c r="C89" s="84">
        <f>'[1]Beschr-Descr.'!C26</f>
        <v>0</v>
      </c>
      <c r="D89" s="84">
        <f>'[1]Beschr-Descr.'!D26</f>
        <v>0</v>
      </c>
      <c r="E89" s="207">
        <f>'[1]Beschr-Descr.'!E26</f>
        <v>0</v>
      </c>
    </row>
    <row r="90" spans="1:5" x14ac:dyDescent="0.2">
      <c r="A90" s="84" t="str">
        <f>'[1]Beschr-Descr.'!A27</f>
        <v xml:space="preserve">Nichteinhaltung Kündigungsfrist  </v>
      </c>
      <c r="B90" s="84"/>
      <c r="C90" s="84">
        <f>'[1]Beschr-Descr.'!C27</f>
        <v>0</v>
      </c>
      <c r="D90" s="84">
        <f>'[1]Beschr-Descr.'!D27</f>
        <v>0</v>
      </c>
      <c r="E90" s="207">
        <f>'[1]Beschr-Descr.'!E27</f>
        <v>0</v>
      </c>
    </row>
    <row r="91" spans="1:5" x14ac:dyDescent="0.2">
      <c r="A91" s="84" t="str">
        <f>'[1]Beschr-Descr.'!A28</f>
        <v>Una Tantum</v>
      </c>
      <c r="B91" s="84"/>
      <c r="C91" s="84">
        <f>'[1]Beschr-Descr.'!C28</f>
        <v>0</v>
      </c>
      <c r="D91" s="84">
        <f>'[1]Beschr-Descr.'!D28</f>
        <v>0</v>
      </c>
      <c r="E91" s="207">
        <f>'[1]Beschr-Descr.'!E28</f>
        <v>0</v>
      </c>
    </row>
    <row r="92" spans="1:5" x14ac:dyDescent="0.2">
      <c r="A92" s="84" t="str">
        <f>'[1]Beschr-Descr.'!A29</f>
        <v>Prämie</v>
      </c>
      <c r="B92" s="84"/>
      <c r="C92" s="84">
        <f>'[1]Beschr-Descr.'!C29</f>
        <v>0</v>
      </c>
      <c r="D92" s="84">
        <f>'[1]Beschr-Descr.'!D29</f>
        <v>0</v>
      </c>
      <c r="E92" s="207">
        <f>'[1]Beschr-Descr.'!E29</f>
        <v>0</v>
      </c>
    </row>
    <row r="93" spans="1:5" x14ac:dyDescent="0.2">
      <c r="A93" s="84">
        <f>'[1]Beschr-Descr.'!A30</f>
        <v>0</v>
      </c>
      <c r="B93" s="84"/>
      <c r="C93" s="84">
        <f>'[1]Beschr-Descr.'!C30</f>
        <v>0</v>
      </c>
      <c r="D93" s="84">
        <f>'[1]Beschr-Descr.'!D30</f>
        <v>0</v>
      </c>
      <c r="E93" s="207">
        <f>'[1]Beschr-Descr.'!E30</f>
        <v>0</v>
      </c>
    </row>
    <row r="94" spans="1:5" x14ac:dyDescent="0.2">
      <c r="A94" s="84">
        <f>'[1]Beschr-Descr.'!A31</f>
        <v>0</v>
      </c>
      <c r="B94" s="84"/>
      <c r="C94" s="84">
        <f>'[1]Beschr-Descr.'!C31</f>
        <v>0</v>
      </c>
      <c r="D94" s="84">
        <f>'[1]Beschr-Descr.'!D31</f>
        <v>0</v>
      </c>
      <c r="E94" s="207">
        <f>'[1]Beschr-Descr.'!E31</f>
        <v>0</v>
      </c>
    </row>
    <row r="95" spans="1:5" x14ac:dyDescent="0.2">
      <c r="A95" s="84" t="str">
        <f>'[1]Beschr-Descr.'!A32</f>
        <v xml:space="preserve">Retribuzione ordinaria </v>
      </c>
      <c r="B95" s="84"/>
      <c r="C95" s="84">
        <f>'[1]Beschr-Descr.'!C32</f>
        <v>0</v>
      </c>
      <c r="D95" s="84">
        <f>'[1]Beschr-Descr.'!D32</f>
        <v>0</v>
      </c>
      <c r="E95" s="207">
        <f>'[1]Beschr-Descr.'!E32</f>
        <v>0</v>
      </c>
    </row>
    <row r="96" spans="1:5" x14ac:dyDescent="0.2">
      <c r="A96" s="84" t="str">
        <f>'[1]Beschr-Descr.'!A33</f>
        <v>Ferie godute</v>
      </c>
      <c r="B96" s="84"/>
      <c r="C96" s="84">
        <f>'[1]Beschr-Descr.'!C33</f>
        <v>0</v>
      </c>
      <c r="D96" s="84">
        <f>'[1]Beschr-Descr.'!D33</f>
        <v>0</v>
      </c>
      <c r="E96" s="207">
        <f>'[1]Beschr-Descr.'!E33</f>
        <v>0</v>
      </c>
    </row>
    <row r="97" spans="1:5" x14ac:dyDescent="0.2">
      <c r="A97" s="84" t="str">
        <f>'[1]Beschr-Descr.'!A34</f>
        <v>Permessi goduti</v>
      </c>
      <c r="B97" s="84"/>
      <c r="C97" s="84">
        <f>'[1]Beschr-Descr.'!C34</f>
        <v>0</v>
      </c>
      <c r="D97" s="84">
        <f>'[1]Beschr-Descr.'!D34</f>
        <v>0</v>
      </c>
      <c r="E97" s="207">
        <f>'[1]Beschr-Descr.'!E34</f>
        <v>0</v>
      </c>
    </row>
    <row r="98" spans="1:5" x14ac:dyDescent="0.2">
      <c r="A98" s="84" t="str">
        <f>'[1]Beschr-Descr.'!A35</f>
        <v>Ferie non godute</v>
      </c>
      <c r="B98" s="84"/>
      <c r="C98" s="84">
        <f>'[1]Beschr-Descr.'!C35</f>
        <v>0</v>
      </c>
      <c r="D98" s="84">
        <f>'[1]Beschr-Descr.'!D35</f>
        <v>0</v>
      </c>
      <c r="E98" s="207">
        <f>'[1]Beschr-Descr.'!E35</f>
        <v>0</v>
      </c>
    </row>
    <row r="99" spans="1:5" x14ac:dyDescent="0.2">
      <c r="A99" s="84" t="str">
        <f>'[1]Beschr-Descr.'!A36</f>
        <v>Ferie non godute</v>
      </c>
      <c r="B99" s="84"/>
      <c r="C99" s="84">
        <f>'[1]Beschr-Descr.'!C36</f>
        <v>0</v>
      </c>
      <c r="D99" s="84">
        <f>'[1]Beschr-Descr.'!D36</f>
        <v>0</v>
      </c>
      <c r="E99" s="207">
        <f>'[1]Beschr-Descr.'!E36</f>
        <v>0</v>
      </c>
    </row>
    <row r="100" spans="1:5" x14ac:dyDescent="0.2">
      <c r="A100" s="84" t="str">
        <f>'[1]Beschr-Descr.'!A37</f>
        <v>Festività non godute</v>
      </c>
      <c r="B100" s="84"/>
      <c r="C100" s="84">
        <f>'[1]Beschr-Descr.'!C37</f>
        <v>0</v>
      </c>
      <c r="D100" s="84">
        <f>'[1]Beschr-Descr.'!D37</f>
        <v>0</v>
      </c>
      <c r="E100" s="207">
        <f>'[1]Beschr-Descr.'!E37</f>
        <v>0</v>
      </c>
    </row>
    <row r="101" spans="1:5" x14ac:dyDescent="0.2">
      <c r="A101" s="84" t="str">
        <f>'[1]Beschr-Descr.'!A38</f>
        <v>Indennità rischio cassa</v>
      </c>
      <c r="B101" s="84"/>
      <c r="C101" s="84">
        <f>'[1]Beschr-Descr.'!C38</f>
        <v>0</v>
      </c>
      <c r="D101" s="84">
        <f>'[1]Beschr-Descr.'!D38</f>
        <v>0</v>
      </c>
      <c r="E101" s="207">
        <f>'[1]Beschr-Descr.'!E38</f>
        <v>0</v>
      </c>
    </row>
    <row r="102" spans="1:5" x14ac:dyDescent="0.2">
      <c r="A102" s="84">
        <f>'[1]Beschr-Descr.'!A39</f>
        <v>0</v>
      </c>
      <c r="B102" s="84"/>
      <c r="C102" s="84">
        <f>'[1]Beschr-Descr.'!C39</f>
        <v>0</v>
      </c>
      <c r="D102" s="84">
        <f>'[1]Beschr-Descr.'!D39</f>
        <v>0</v>
      </c>
      <c r="E102" s="207">
        <f>'[1]Beschr-Descr.'!E39</f>
        <v>0</v>
      </c>
    </row>
    <row r="103" spans="1:5" x14ac:dyDescent="0.2">
      <c r="A103" s="84" t="str">
        <f>'[1]Beschr-Descr.'!A40</f>
        <v>Ore straordinarie 15%</v>
      </c>
      <c r="B103" s="84"/>
      <c r="C103" s="84">
        <f>'[1]Beschr-Descr.'!C40</f>
        <v>0</v>
      </c>
      <c r="D103" s="84">
        <f>'[1]Beschr-Descr.'!D40</f>
        <v>0</v>
      </c>
      <c r="E103" s="207">
        <f>'[1]Beschr-Descr.'!E40</f>
        <v>0.15</v>
      </c>
    </row>
    <row r="104" spans="1:5" x14ac:dyDescent="0.2">
      <c r="A104" s="84" t="str">
        <f>'[1]Beschr-Descr.'!A41</f>
        <v>Ore straordinarie 20%</v>
      </c>
      <c r="B104" s="84"/>
      <c r="C104" s="84">
        <f>'[1]Beschr-Descr.'!C41</f>
        <v>0</v>
      </c>
      <c r="D104" s="84">
        <f>'[1]Beschr-Descr.'!D41</f>
        <v>0</v>
      </c>
      <c r="E104" s="207">
        <f>'[1]Beschr-Descr.'!E41</f>
        <v>0.2</v>
      </c>
    </row>
    <row r="105" spans="1:5" x14ac:dyDescent="0.2">
      <c r="A105" s="84" t="str">
        <f>'[1]Beschr-Descr.'!A42</f>
        <v>Ore straordinarie 30%</v>
      </c>
      <c r="B105" s="84"/>
      <c r="C105" s="84">
        <f>'[1]Beschr-Descr.'!C42</f>
        <v>0</v>
      </c>
      <c r="D105" s="84">
        <f>'[1]Beschr-Descr.'!D42</f>
        <v>0</v>
      </c>
      <c r="E105" s="207">
        <f>'[1]Beschr-Descr.'!E42</f>
        <v>0.3</v>
      </c>
    </row>
    <row r="106" spans="1:5" x14ac:dyDescent="0.2">
      <c r="A106" s="84" t="str">
        <f>'[1]Beschr-Descr.'!A43</f>
        <v>Ore straordinarie 50%</v>
      </c>
      <c r="B106" s="84"/>
      <c r="C106" s="84">
        <f>'[1]Beschr-Descr.'!C43</f>
        <v>0</v>
      </c>
      <c r="D106" s="84">
        <f>'[1]Beschr-Descr.'!D43</f>
        <v>0</v>
      </c>
      <c r="E106" s="207">
        <f>'[1]Beschr-Descr.'!E43</f>
        <v>0.5</v>
      </c>
    </row>
    <row r="107" spans="1:5" x14ac:dyDescent="0.2">
      <c r="A107" s="84" t="str">
        <f>'[1]Beschr-Descr.'!A44</f>
        <v>Ore notturne 50%</v>
      </c>
      <c r="B107" s="84"/>
      <c r="C107" s="84">
        <f>'[1]Beschr-Descr.'!C44</f>
        <v>0</v>
      </c>
      <c r="D107" s="84">
        <f>'[1]Beschr-Descr.'!D44</f>
        <v>0</v>
      </c>
      <c r="E107" s="207">
        <f>'[1]Beschr-Descr.'!E44</f>
        <v>0.5</v>
      </c>
    </row>
    <row r="108" spans="1:5" x14ac:dyDescent="0.2">
      <c r="A108" s="84">
        <f>'[1]Beschr-Descr.'!A45</f>
        <v>0</v>
      </c>
      <c r="B108" s="84"/>
      <c r="C108" s="84">
        <f>'[1]Beschr-Descr.'!C45</f>
        <v>0</v>
      </c>
      <c r="D108" s="84">
        <f>'[1]Beschr-Descr.'!D45</f>
        <v>0</v>
      </c>
      <c r="E108" s="207">
        <f>'[1]Beschr-Descr.'!E45</f>
        <v>0</v>
      </c>
    </row>
    <row r="109" spans="1:5" x14ac:dyDescent="0.2">
      <c r="A109" s="84" t="str">
        <f>'[1]Beschr-Descr.'!A46</f>
        <v>Indennità di malattia totale</v>
      </c>
      <c r="B109" s="84"/>
      <c r="C109" s="84">
        <f>'[1]Beschr-Descr.'!C46</f>
        <v>0</v>
      </c>
      <c r="D109" s="84">
        <f>'[1]Beschr-Descr.'!D46</f>
        <v>0</v>
      </c>
      <c r="E109" s="207">
        <f>'[1]Beschr-Descr.'!E46</f>
        <v>0</v>
      </c>
    </row>
    <row r="110" spans="1:5" x14ac:dyDescent="0.2">
      <c r="A110" s="84" t="str">
        <f>'[1]Beschr-Descr.'!A47</f>
        <v>Indennità di malattia quota INPS 50%</v>
      </c>
      <c r="B110" s="84"/>
      <c r="C110" s="84">
        <f>'[1]Beschr-Descr.'!C47</f>
        <v>0</v>
      </c>
      <c r="D110" s="84">
        <f>'[1]Beschr-Descr.'!D47</f>
        <v>0</v>
      </c>
      <c r="E110" s="207">
        <f>'[1]Beschr-Descr.'!E47</f>
        <v>-0.5</v>
      </c>
    </row>
    <row r="111" spans="1:5" x14ac:dyDescent="0.2">
      <c r="A111" s="84" t="str">
        <f>'[1]Beschr-Descr.'!A48</f>
        <v>Indennità di malattia quota INPS 66,67%</v>
      </c>
      <c r="B111" s="84"/>
      <c r="C111" s="84">
        <f>'[1]Beschr-Descr.'!C48</f>
        <v>0</v>
      </c>
      <c r="D111" s="84">
        <f>'[1]Beschr-Descr.'!D48</f>
        <v>0</v>
      </c>
      <c r="E111" s="207">
        <f>'[1]Beschr-Descr.'!E48</f>
        <v>-0.66669999999999996</v>
      </c>
    </row>
    <row r="112" spans="1:5" x14ac:dyDescent="0.2">
      <c r="A112" s="84" t="str">
        <f>'[1]Beschr-Descr.'!A49</f>
        <v>Indennità di maternità importo totale</v>
      </c>
      <c r="B112" s="84"/>
      <c r="C112" s="84">
        <f>'[1]Beschr-Descr.'!C49</f>
        <v>0</v>
      </c>
      <c r="D112" s="84">
        <f>'[1]Beschr-Descr.'!D49</f>
        <v>0</v>
      </c>
      <c r="E112" s="207">
        <f>'[1]Beschr-Descr.'!E49</f>
        <v>0</v>
      </c>
    </row>
    <row r="113" spans="1:5" x14ac:dyDescent="0.2">
      <c r="A113" s="84" t="str">
        <f>'[1]Beschr-Descr.'!A50</f>
        <v>Indennità di maternità quota INPS 80,00%</v>
      </c>
      <c r="B113" s="84"/>
      <c r="C113" s="84">
        <f>'[1]Beschr-Descr.'!C50</f>
        <v>0</v>
      </c>
      <c r="D113" s="84">
        <f>'[1]Beschr-Descr.'!D50</f>
        <v>0</v>
      </c>
      <c r="E113" s="207">
        <f>'[1]Beschr-Descr.'!E50</f>
        <v>-0.8</v>
      </c>
    </row>
    <row r="114" spans="1:5" x14ac:dyDescent="0.2">
      <c r="A114" s="84" t="str">
        <f>'[1]Beschr-Descr.'!A51</f>
        <v>Lordizzazione indennità malattia quota INPS</v>
      </c>
      <c r="B114" s="84"/>
      <c r="C114" s="84">
        <f>'[1]Beschr-Descr.'!C51</f>
        <v>0</v>
      </c>
      <c r="D114" s="84">
        <f>'[1]Beschr-Descr.'!D51</f>
        <v>0</v>
      </c>
      <c r="E114" s="207">
        <f>'[1]Beschr-Descr.'!E51</f>
        <v>0.1012</v>
      </c>
    </row>
    <row r="115" spans="1:5" x14ac:dyDescent="0.2">
      <c r="A115" s="84">
        <f>'[1]Beschr-Descr.'!A52</f>
        <v>0</v>
      </c>
      <c r="B115" s="84"/>
      <c r="C115" s="84">
        <f>'[1]Beschr-Descr.'!C52</f>
        <v>0</v>
      </c>
      <c r="D115" s="84">
        <f>'[1]Beschr-Descr.'!D52</f>
        <v>0</v>
      </c>
      <c r="E115" s="207">
        <f>'[1]Beschr-Descr.'!E52</f>
        <v>0</v>
      </c>
    </row>
    <row r="116" spans="1:5" x14ac:dyDescent="0.2">
      <c r="A116" s="84" t="str">
        <f>'[1]Beschr-Descr.'!A53</f>
        <v>13a mensilità</v>
      </c>
      <c r="B116" s="84"/>
      <c r="C116" s="84">
        <f>'[1]Beschr-Descr.'!C53</f>
        <v>0</v>
      </c>
      <c r="D116" s="84">
        <f>'[1]Beschr-Descr.'!D53</f>
        <v>0</v>
      </c>
      <c r="E116" s="207">
        <f>'[1]Beschr-Descr.'!E53</f>
        <v>0</v>
      </c>
    </row>
    <row r="117" spans="1:5" x14ac:dyDescent="0.2">
      <c r="A117" s="84" t="str">
        <f>'[1]Beschr-Descr.'!A54</f>
        <v>14a mensilità</v>
      </c>
      <c r="B117" s="84"/>
      <c r="C117" s="84">
        <f>'[1]Beschr-Descr.'!C54</f>
        <v>0</v>
      </c>
      <c r="D117" s="84">
        <f>'[1]Beschr-Descr.'!D54</f>
        <v>0</v>
      </c>
      <c r="E117" s="207">
        <f>'[1]Beschr-Descr.'!E54</f>
        <v>0</v>
      </c>
    </row>
    <row r="118" spans="1:5" x14ac:dyDescent="0.2">
      <c r="A118" s="84" t="str">
        <f>'[1]Beschr-Descr.'!A55</f>
        <v>Mancato rispetto periodo preavviso licenziamento</v>
      </c>
      <c r="B118" s="84"/>
      <c r="C118" s="84">
        <f>'[1]Beschr-Descr.'!C55</f>
        <v>0</v>
      </c>
      <c r="D118" s="84">
        <f>'[1]Beschr-Descr.'!D55</f>
        <v>0</v>
      </c>
      <c r="E118" s="207">
        <f>'[1]Beschr-Descr.'!E55</f>
        <v>0</v>
      </c>
    </row>
    <row r="119" spans="1:5" x14ac:dyDescent="0.2">
      <c r="A119" s="84" t="str">
        <f>'[1]Beschr-Descr.'!A56</f>
        <v>Una Tantum</v>
      </c>
      <c r="B119" s="84"/>
      <c r="C119" s="84">
        <f>'[1]Beschr-Descr.'!C56</f>
        <v>0</v>
      </c>
      <c r="D119" s="84">
        <f>'[1]Beschr-Descr.'!D56</f>
        <v>0</v>
      </c>
      <c r="E119" s="207">
        <f>'[1]Beschr-Descr.'!E56</f>
        <v>0</v>
      </c>
    </row>
    <row r="120" spans="1:5" x14ac:dyDescent="0.2">
      <c r="A120" s="84" t="str">
        <f>'[1]Beschr-Descr.'!A57</f>
        <v>Premio</v>
      </c>
      <c r="B120" s="84"/>
      <c r="C120" s="84">
        <f>'[1]Beschr-Descr.'!C57</f>
        <v>0</v>
      </c>
      <c r="D120" s="84">
        <f>'[1]Beschr-Descr.'!D57</f>
        <v>0</v>
      </c>
      <c r="E120" s="207">
        <f>'[1]Beschr-Descr.'!E57</f>
        <v>0</v>
      </c>
    </row>
    <row r="121" spans="1:5" x14ac:dyDescent="0.2">
      <c r="A121" s="84">
        <f>'[1]Beschr-Descr.'!A58</f>
        <v>0</v>
      </c>
      <c r="B121" s="84"/>
      <c r="C121" s="84">
        <f>'[1]Beschr-Descr.'!C58</f>
        <v>0</v>
      </c>
      <c r="D121" s="84">
        <f>'[1]Beschr-Descr.'!D58</f>
        <v>0</v>
      </c>
      <c r="E121" s="207">
        <f>'[1]Beschr-Descr.'!E58</f>
        <v>0</v>
      </c>
    </row>
    <row r="122" spans="1:5" x14ac:dyDescent="0.2">
      <c r="A122">
        <f>'[1]Beschr-Descr.'!A63</f>
        <v>0</v>
      </c>
    </row>
    <row r="123" spans="1:5" x14ac:dyDescent="0.2">
      <c r="A123">
        <f>'[1]Beschr-Descr.'!A64</f>
        <v>0</v>
      </c>
    </row>
    <row r="124" spans="1:5" x14ac:dyDescent="0.2">
      <c r="A124">
        <f>'[1]Beschr-Descr.'!A65</f>
        <v>0</v>
      </c>
    </row>
    <row r="125" spans="1:5" x14ac:dyDescent="0.2">
      <c r="A125">
        <f>'[1]Beschr-Descr.'!A66</f>
        <v>0</v>
      </c>
    </row>
    <row r="126" spans="1:5" x14ac:dyDescent="0.2">
      <c r="A126">
        <f>'[1]Beschr-Descr.'!A67</f>
        <v>0</v>
      </c>
    </row>
    <row r="127" spans="1:5" x14ac:dyDescent="0.2">
      <c r="A127">
        <f>'[1]Beschr-Descr.'!A68</f>
        <v>0</v>
      </c>
    </row>
    <row r="128" spans="1:5" x14ac:dyDescent="0.2">
      <c r="A128">
        <f>'[1]Beschr-Descr.'!A69</f>
        <v>0</v>
      </c>
    </row>
    <row r="129" spans="1:1" x14ac:dyDescent="0.2">
      <c r="A129">
        <f>'[1]Beschr-Descr.'!A70</f>
        <v>0</v>
      </c>
    </row>
    <row r="130" spans="1:1" x14ac:dyDescent="0.2">
      <c r="A130">
        <f>'[1]Beschr-Descr.'!A71</f>
        <v>0</v>
      </c>
    </row>
    <row r="131" spans="1:1" x14ac:dyDescent="0.2">
      <c r="A131">
        <f>'[1]Beschr-Descr.'!A72</f>
        <v>0</v>
      </c>
    </row>
    <row r="132" spans="1:1" x14ac:dyDescent="0.2">
      <c r="A132">
        <f>'[1]Beschr-Descr.'!A73</f>
        <v>0</v>
      </c>
    </row>
    <row r="133" spans="1:1" x14ac:dyDescent="0.2">
      <c r="A133">
        <f>'[1]Beschr-Descr.'!A74</f>
        <v>0</v>
      </c>
    </row>
    <row r="134" spans="1:1" x14ac:dyDescent="0.2">
      <c r="A134">
        <f>'[1]Beschr-Descr.'!A75</f>
        <v>0</v>
      </c>
    </row>
    <row r="135" spans="1:1" x14ac:dyDescent="0.2">
      <c r="A135">
        <f>'[1]Beschr-Descr.'!A76</f>
        <v>0</v>
      </c>
    </row>
    <row r="136" spans="1:1" x14ac:dyDescent="0.2">
      <c r="A136">
        <f>'[1]Beschr-Descr.'!A77</f>
        <v>0</v>
      </c>
    </row>
    <row r="137" spans="1:1" x14ac:dyDescent="0.2">
      <c r="A137">
        <f>'[1]Beschr-Descr.'!A78</f>
        <v>0</v>
      </c>
    </row>
    <row r="138" spans="1:1" x14ac:dyDescent="0.2">
      <c r="A138">
        <f>'[1]Beschr-Descr.'!A79</f>
        <v>0</v>
      </c>
    </row>
    <row r="139" spans="1:1" x14ac:dyDescent="0.2">
      <c r="A139">
        <f>'[1]Beschr-Descr.'!A80</f>
        <v>0</v>
      </c>
    </row>
    <row r="140" spans="1:1" x14ac:dyDescent="0.2">
      <c r="A140">
        <f>'[1]Beschr-Descr.'!A81</f>
        <v>0</v>
      </c>
    </row>
    <row r="141" spans="1:1" x14ac:dyDescent="0.2">
      <c r="A141">
        <f>'[1]Beschr-Descr.'!A82</f>
        <v>0</v>
      </c>
    </row>
    <row r="142" spans="1:1" x14ac:dyDescent="0.2">
      <c r="A142">
        <f>'[1]Beschr-Descr.'!A83</f>
        <v>0</v>
      </c>
    </row>
    <row r="143" spans="1:1" x14ac:dyDescent="0.2">
      <c r="A143">
        <f>'[1]Beschr-Descr.'!A84</f>
        <v>0</v>
      </c>
    </row>
    <row r="144" spans="1:1" x14ac:dyDescent="0.2">
      <c r="A144">
        <f>'[1]Beschr-Descr.'!A85</f>
        <v>0</v>
      </c>
    </row>
    <row r="145" spans="1:1" x14ac:dyDescent="0.2">
      <c r="A145">
        <f>'[1]Beschr-Descr.'!A86</f>
        <v>0</v>
      </c>
    </row>
    <row r="146" spans="1:1" x14ac:dyDescent="0.2">
      <c r="A146">
        <f>'[1]Beschr-Descr.'!A87</f>
        <v>0</v>
      </c>
    </row>
    <row r="147" spans="1:1" x14ac:dyDescent="0.2">
      <c r="A147">
        <f>'[1]Beschr-Descr.'!A88</f>
        <v>0</v>
      </c>
    </row>
    <row r="148" spans="1:1" x14ac:dyDescent="0.2">
      <c r="A148">
        <f>'[1]Beschr-Descr.'!A89</f>
        <v>0</v>
      </c>
    </row>
    <row r="149" spans="1:1" x14ac:dyDescent="0.2">
      <c r="A149">
        <f>'[1]Beschr-Descr.'!A90</f>
        <v>0</v>
      </c>
    </row>
    <row r="150" spans="1:1" x14ac:dyDescent="0.2">
      <c r="A150">
        <f>'[1]Beschr-Descr.'!A91</f>
        <v>0</v>
      </c>
    </row>
    <row r="151" spans="1:1" x14ac:dyDescent="0.2">
      <c r="A151">
        <f>'[1]Beschr-Descr.'!A92</f>
        <v>0</v>
      </c>
    </row>
    <row r="152" spans="1:1" x14ac:dyDescent="0.2">
      <c r="A152">
        <f>'[1]Beschr-Descr.'!A93</f>
        <v>0</v>
      </c>
    </row>
    <row r="153" spans="1:1" x14ac:dyDescent="0.2">
      <c r="A153">
        <f>'[1]Beschr-Descr.'!A94</f>
        <v>0</v>
      </c>
    </row>
    <row r="154" spans="1:1" x14ac:dyDescent="0.2">
      <c r="A154">
        <f>'[1]Beschr-Descr.'!A95</f>
        <v>0</v>
      </c>
    </row>
    <row r="155" spans="1:1" x14ac:dyDescent="0.2">
      <c r="A155">
        <f>'[1]Beschr-Descr.'!A96</f>
        <v>0</v>
      </c>
    </row>
    <row r="156" spans="1:1" x14ac:dyDescent="0.2">
      <c r="A156">
        <f>'[1]Beschr-Descr.'!A97</f>
        <v>0</v>
      </c>
    </row>
    <row r="157" spans="1:1" x14ac:dyDescent="0.2">
      <c r="A157">
        <f>'[1]Beschr-Descr.'!A98</f>
        <v>0</v>
      </c>
    </row>
    <row r="158" spans="1:1" x14ac:dyDescent="0.2">
      <c r="A158">
        <f>'[1]Beschr-Descr.'!A99</f>
        <v>0</v>
      </c>
    </row>
    <row r="159" spans="1:1" x14ac:dyDescent="0.2">
      <c r="A159">
        <f>'[1]Beschr-Descr.'!A100</f>
        <v>0</v>
      </c>
    </row>
    <row r="160" spans="1:1" x14ac:dyDescent="0.2">
      <c r="A160">
        <f>'[1]Beschr-Descr.'!A101</f>
        <v>0</v>
      </c>
    </row>
    <row r="161" spans="1:1" x14ac:dyDescent="0.2">
      <c r="A161">
        <f>'[1]Beschr-Descr.'!A102</f>
        <v>0</v>
      </c>
    </row>
  </sheetData>
  <mergeCells count="70">
    <mergeCell ref="N60:O60"/>
    <mergeCell ref="J54:O54"/>
    <mergeCell ref="J57:O57"/>
    <mergeCell ref="N55:O55"/>
    <mergeCell ref="N56:O56"/>
    <mergeCell ref="N58:O58"/>
    <mergeCell ref="N59:O59"/>
    <mergeCell ref="U53:U54"/>
    <mergeCell ref="S53:S54"/>
    <mergeCell ref="T53:T54"/>
    <mergeCell ref="E16:F16"/>
    <mergeCell ref="E52:F52"/>
    <mergeCell ref="E48:F48"/>
    <mergeCell ref="E50:F50"/>
    <mergeCell ref="Q53:R53"/>
    <mergeCell ref="S41:S43"/>
    <mergeCell ref="E18:F18"/>
    <mergeCell ref="U41:U43"/>
    <mergeCell ref="Q41:R42"/>
    <mergeCell ref="T41:T43"/>
    <mergeCell ref="E44:F44"/>
    <mergeCell ref="J52:O52"/>
    <mergeCell ref="L10:L18"/>
    <mergeCell ref="A19:C19"/>
    <mergeCell ref="A20:C20"/>
    <mergeCell ref="A24:C24"/>
    <mergeCell ref="A25:C25"/>
    <mergeCell ref="A22:C22"/>
    <mergeCell ref="A21:C21"/>
    <mergeCell ref="A23:C23"/>
    <mergeCell ref="A28:C28"/>
    <mergeCell ref="A26:C26"/>
    <mergeCell ref="E43:F43"/>
    <mergeCell ref="A27:C27"/>
    <mergeCell ref="E59:F59"/>
    <mergeCell ref="E54:F54"/>
    <mergeCell ref="E58:F58"/>
    <mergeCell ref="E56:F56"/>
    <mergeCell ref="E57:F57"/>
    <mergeCell ref="E55:F55"/>
    <mergeCell ref="Q5:S6"/>
    <mergeCell ref="Q7:S8"/>
    <mergeCell ref="K50:K51"/>
    <mergeCell ref="M50:M51"/>
    <mergeCell ref="Q10:S11"/>
    <mergeCell ref="N50:N51"/>
    <mergeCell ref="O50:O51"/>
    <mergeCell ref="L50:L51"/>
    <mergeCell ref="J1:O1"/>
    <mergeCell ref="J8:O9"/>
    <mergeCell ref="J10:J18"/>
    <mergeCell ref="K10:K18"/>
    <mergeCell ref="M10:M18"/>
    <mergeCell ref="N10:N18"/>
    <mergeCell ref="O10:O18"/>
    <mergeCell ref="E3:F3"/>
    <mergeCell ref="E7:F7"/>
    <mergeCell ref="E5:F5"/>
    <mergeCell ref="E8:F8"/>
    <mergeCell ref="E51:F51"/>
    <mergeCell ref="E9:F9"/>
    <mergeCell ref="E12:F12"/>
    <mergeCell ref="E11:F11"/>
    <mergeCell ref="E49:F49"/>
    <mergeCell ref="E45:F45"/>
    <mergeCell ref="E46:F46"/>
    <mergeCell ref="E13:F13"/>
    <mergeCell ref="E14:F14"/>
    <mergeCell ref="E47:F47"/>
    <mergeCell ref="E15:F15"/>
  </mergeCells>
  <phoneticPr fontId="2" type="noConversion"/>
  <dataValidations count="2">
    <dataValidation type="list" allowBlank="1" showInputMessage="1" showErrorMessage="1" sqref="E19:E28" xr:uid="{00000000-0002-0000-0700-000000000000}">
      <formula1>$F$67:$F$70</formula1>
    </dataValidation>
    <dataValidation type="list" allowBlank="1" showInputMessage="1" showErrorMessage="1" sqref="A19:C28" xr:uid="{00000000-0002-0000-0700-000001000000}">
      <formula1>$A$67:$A$149</formula1>
    </dataValidation>
  </dataValidations>
  <printOptions horizontalCentered="1" verticalCentered="1"/>
  <pageMargins left="0.19685039370078741" right="0.19685039370078741" top="0.39370078740157483" bottom="0.39370078740157483" header="0" footer="0.19685039370078741"/>
  <pageSetup paperSize="9" orientation="portrait" r:id="rId1"/>
  <headerFooter alignWithMargins="0">
    <oddFooter>&amp;C&amp;"Calibri,Standard"Lohnberechnung FRINO PRO 2017 von Dr. Friedrich Nöckler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8196" r:id="rId4" name="Drop Down 4">
              <controlPr defaultSize="0" print="0" autoLine="0" autoPict="0">
                <anchor moveWithCells="1">
                  <from>
                    <xdr:col>5</xdr:col>
                    <xdr:colOff>390525</xdr:colOff>
                    <xdr:row>2</xdr:row>
                    <xdr:rowOff>9525</xdr:rowOff>
                  </from>
                  <to>
                    <xdr:col>8</xdr:col>
                    <xdr:colOff>533400</xdr:colOff>
                    <xdr:row>3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9"/>
  <dimension ref="A1:Z161"/>
  <sheetViews>
    <sheetView showGridLines="0" showZeros="0" zoomScaleNormal="100" workbookViewId="0"/>
  </sheetViews>
  <sheetFormatPr baseColWidth="10" defaultRowHeight="12.75" x14ac:dyDescent="0.2"/>
  <cols>
    <col min="1" max="1" width="11.28515625" customWidth="1"/>
    <col min="2" max="2" width="11.7109375" customWidth="1"/>
    <col min="3" max="3" width="10.85546875" customWidth="1"/>
    <col min="4" max="4" width="11.28515625" customWidth="1"/>
    <col min="5" max="5" width="5.42578125" customWidth="1"/>
    <col min="6" max="6" width="6" customWidth="1"/>
    <col min="7" max="7" width="11.140625" customWidth="1"/>
    <col min="8" max="8" width="9.85546875" customWidth="1"/>
    <col min="9" max="9" width="9.140625" customWidth="1"/>
    <col min="10" max="10" width="2.5703125" style="277" customWidth="1"/>
    <col min="11" max="15" width="2.140625" customWidth="1"/>
    <col min="16" max="16" width="2.28515625" customWidth="1"/>
    <col min="17" max="17" width="11.28515625" customWidth="1"/>
    <col min="18" max="18" width="10.7109375" customWidth="1"/>
    <col min="19" max="19" width="9" bestFit="1" customWidth="1"/>
    <col min="20" max="20" width="11.28515625" bestFit="1" customWidth="1"/>
    <col min="21" max="21" width="8.5703125" bestFit="1" customWidth="1"/>
    <col min="22" max="24" width="10.7109375" customWidth="1"/>
  </cols>
  <sheetData>
    <row r="1" spans="1:26" s="144" customFormat="1" ht="16.5" customHeight="1" x14ac:dyDescent="0.2">
      <c r="A1" s="316" t="s">
        <v>106</v>
      </c>
      <c r="B1" s="317"/>
      <c r="C1" s="317"/>
      <c r="D1" s="317"/>
      <c r="E1" s="317"/>
      <c r="F1" s="317"/>
      <c r="G1" s="317"/>
      <c r="H1" s="317"/>
      <c r="I1" s="318" t="s">
        <v>47</v>
      </c>
      <c r="J1" s="473">
        <f>[1]Firma!$A$18</f>
        <v>45505</v>
      </c>
      <c r="K1" s="473"/>
      <c r="L1" s="473"/>
      <c r="M1" s="473"/>
      <c r="N1" s="473"/>
      <c r="O1" s="474"/>
      <c r="P1" s="143"/>
      <c r="Q1" s="143"/>
      <c r="R1" s="143"/>
      <c r="S1" s="143"/>
      <c r="T1" s="143"/>
      <c r="U1" s="143"/>
      <c r="V1" s="143"/>
      <c r="W1" s="143"/>
      <c r="X1" s="143"/>
      <c r="Y1" s="143"/>
      <c r="Z1" s="143"/>
    </row>
    <row r="2" spans="1:26" s="124" customFormat="1" ht="12.75" customHeight="1" x14ac:dyDescent="0.2">
      <c r="A2" s="199" t="s">
        <v>107</v>
      </c>
      <c r="B2" s="200"/>
      <c r="C2" s="200"/>
      <c r="D2" s="201"/>
      <c r="E2" s="188" t="s">
        <v>132</v>
      </c>
      <c r="F2" s="202"/>
      <c r="G2" s="200"/>
      <c r="H2" s="200"/>
      <c r="I2" s="203"/>
      <c r="J2" s="302"/>
      <c r="K2" s="201"/>
      <c r="L2" s="201"/>
      <c r="M2" s="201"/>
      <c r="N2" s="200"/>
      <c r="O2" s="303"/>
      <c r="P2" s="121"/>
      <c r="Q2" s="121"/>
      <c r="R2" s="121"/>
      <c r="S2" s="121"/>
      <c r="T2" s="121"/>
      <c r="U2" s="121"/>
      <c r="V2" s="121"/>
      <c r="W2" s="121"/>
      <c r="X2" s="121"/>
      <c r="Y2" s="121"/>
      <c r="Z2" s="121"/>
    </row>
    <row r="3" spans="1:26" ht="16.899999999999999" customHeight="1" x14ac:dyDescent="0.2">
      <c r="A3" s="88" t="s">
        <v>100</v>
      </c>
      <c r="B3" s="83" t="str">
        <f>[1]Firma!$A$4</f>
        <v>Asues GmbH</v>
      </c>
      <c r="C3" s="1"/>
      <c r="D3" s="1"/>
      <c r="E3" s="555" t="s">
        <v>126</v>
      </c>
      <c r="F3" s="556"/>
      <c r="G3" s="1" t="str">
        <f>VLOOKUP(P3,'[1]Mit-1'!$A$5:$B$19,2,FALSE)</f>
        <v>AAAAA BBBBB</v>
      </c>
      <c r="H3" s="1"/>
      <c r="I3" s="2"/>
      <c r="J3" s="304"/>
      <c r="K3" s="72"/>
      <c r="L3" s="72"/>
      <c r="M3" s="72"/>
      <c r="N3" s="72"/>
      <c r="O3" s="134"/>
      <c r="P3" s="72">
        <v>1</v>
      </c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0.5" customHeight="1" x14ac:dyDescent="0.2">
      <c r="A4" s="87" t="s">
        <v>101</v>
      </c>
      <c r="B4" s="3" t="str">
        <f>[1]Firma!$B$4</f>
        <v>Josef-Ferrari-Straße 12; 39031 Bruneck (BZ)</v>
      </c>
      <c r="C4" s="3"/>
      <c r="D4" s="3"/>
      <c r="E4" s="187" t="s">
        <v>127</v>
      </c>
      <c r="G4" s="30" t="str">
        <f>VLOOKUP($P$3,'[1]Mit-1'!$A$5:$U$19,3,FALSE)</f>
        <v>Michael-Pacher-Straße 10, 39031 Bruneck</v>
      </c>
      <c r="I4" s="134"/>
      <c r="N4" s="1"/>
      <c r="O4" s="2"/>
      <c r="P4" s="1"/>
      <c r="V4" s="1"/>
      <c r="W4" s="1"/>
      <c r="X4" s="1"/>
      <c r="Y4" s="1"/>
      <c r="Z4" s="1"/>
    </row>
    <row r="5" spans="1:26" ht="16.899999999999999" customHeight="1" x14ac:dyDescent="0.2">
      <c r="A5" s="88" t="s">
        <v>102</v>
      </c>
      <c r="B5" s="288" t="str">
        <f>[1]Firma!$C$4</f>
        <v>IT09997110213</v>
      </c>
      <c r="C5" s="3"/>
      <c r="D5" s="3"/>
      <c r="E5" s="555" t="s">
        <v>103</v>
      </c>
      <c r="F5" s="556"/>
      <c r="G5" s="30" t="str">
        <f>VLOOKUP($P$3,'[1]Mit-1'!$A$5:$U$19,6,FALSE)</f>
        <v>AAABBB84B11B220G</v>
      </c>
      <c r="I5" s="2"/>
      <c r="K5" s="1"/>
      <c r="L5" s="1"/>
      <c r="M5" s="1"/>
      <c r="N5" s="1"/>
      <c r="O5" s="2"/>
      <c r="P5" s="1"/>
      <c r="Q5" s="546" t="s">
        <v>136</v>
      </c>
      <c r="R5" s="547"/>
      <c r="S5" s="548"/>
      <c r="T5" s="1"/>
      <c r="U5" s="1"/>
      <c r="V5" s="1"/>
      <c r="W5" s="1"/>
      <c r="X5" s="1"/>
      <c r="Y5" s="1"/>
      <c r="Z5" s="1"/>
    </row>
    <row r="6" spans="1:26" ht="16.899999999999999" customHeight="1" x14ac:dyDescent="0.2">
      <c r="A6" s="88" t="s">
        <v>103</v>
      </c>
      <c r="B6" s="288" t="str">
        <f>[1]Firma!$D$4</f>
        <v>09997110213</v>
      </c>
      <c r="C6" s="3"/>
      <c r="D6" s="3"/>
      <c r="E6" s="187" t="s">
        <v>128</v>
      </c>
      <c r="G6" s="149">
        <f>VLOOKUP($P$3,'[1]Mit-1'!$A$28:$C$42,3,FALSE)</f>
        <v>1</v>
      </c>
      <c r="H6" s="89" t="s">
        <v>9</v>
      </c>
      <c r="I6" s="54">
        <f>VLOOKUP($P$3,'[1]Mit-1'!$A$5:$U$19,7,FALSE)</f>
        <v>45597</v>
      </c>
      <c r="N6" s="1"/>
      <c r="O6" s="2"/>
      <c r="P6" s="1"/>
      <c r="Q6" s="549"/>
      <c r="R6" s="550"/>
      <c r="S6" s="551"/>
      <c r="T6" s="1"/>
      <c r="U6" s="1"/>
      <c r="V6" s="1"/>
      <c r="W6" s="1"/>
      <c r="X6" s="1"/>
      <c r="Y6" s="1"/>
      <c r="Z6" s="1"/>
    </row>
    <row r="7" spans="1:26" ht="16.899999999999999" customHeight="1" x14ac:dyDescent="0.2">
      <c r="A7" s="87" t="s">
        <v>104</v>
      </c>
      <c r="B7" s="288" t="str">
        <f>[1]Firma!$E$4</f>
        <v>1420030006</v>
      </c>
      <c r="C7" s="3"/>
      <c r="D7" s="3"/>
      <c r="E7" s="555" t="s">
        <v>129</v>
      </c>
      <c r="F7" s="556"/>
      <c r="G7" s="36">
        <f>VLOOKUP($P$3,'[1]Mit-1'!$A$5:$U$19,4,FALSE)</f>
        <v>30723</v>
      </c>
      <c r="H7" s="90" t="s">
        <v>10</v>
      </c>
      <c r="I7" s="53" t="str">
        <f>VLOOKUP($P$3,'[1]Mit-1'!$A$5:$U$19,5,FALSE)</f>
        <v>Bruneck</v>
      </c>
      <c r="N7" s="1"/>
      <c r="O7" s="2"/>
      <c r="P7" s="1"/>
      <c r="Q7" s="552" t="s">
        <v>134</v>
      </c>
      <c r="R7" s="553"/>
      <c r="S7" s="554"/>
      <c r="T7" s="1"/>
      <c r="U7" s="1"/>
      <c r="V7" s="1"/>
      <c r="W7" s="1"/>
      <c r="X7" s="1"/>
      <c r="Y7" s="1"/>
      <c r="Z7" s="1"/>
    </row>
    <row r="8" spans="1:26" ht="16.899999999999999" customHeight="1" x14ac:dyDescent="0.2">
      <c r="A8" s="87" t="s">
        <v>105</v>
      </c>
      <c r="B8" s="288" t="str">
        <f>[1]Firma!$F$4</f>
        <v>13625</v>
      </c>
      <c r="C8" s="3"/>
      <c r="D8" s="3"/>
      <c r="E8" s="555" t="s">
        <v>130</v>
      </c>
      <c r="F8" s="556"/>
      <c r="G8" s="149">
        <f>VLOOKUP($P$3,'[1]Mit-2'!$A$5:$P$19,11,FALSE)</f>
        <v>2</v>
      </c>
      <c r="H8" s="91" t="s">
        <v>231</v>
      </c>
      <c r="I8" s="150">
        <f>VLOOKUP($P$3,'[1]Mit-2'!$A$46:$AD$60,25,FALSE)</f>
        <v>0</v>
      </c>
      <c r="J8" s="475" t="s">
        <v>226</v>
      </c>
      <c r="K8" s="476"/>
      <c r="L8" s="476"/>
      <c r="M8" s="476"/>
      <c r="N8" s="476"/>
      <c r="O8" s="477"/>
      <c r="P8" s="1"/>
      <c r="Q8" s="552"/>
      <c r="R8" s="553"/>
      <c r="S8" s="554"/>
      <c r="T8" s="1"/>
      <c r="U8" s="1"/>
      <c r="V8" s="1"/>
      <c r="W8" s="1"/>
      <c r="X8" s="1"/>
      <c r="Y8" s="1"/>
      <c r="Z8" s="1"/>
    </row>
    <row r="9" spans="1:26" ht="16.899999999999999" customHeight="1" x14ac:dyDescent="0.2">
      <c r="A9" s="135"/>
      <c r="B9" s="72"/>
      <c r="C9" s="72"/>
      <c r="D9" s="72"/>
      <c r="E9" s="555" t="s">
        <v>131</v>
      </c>
      <c r="F9" s="556"/>
      <c r="G9" s="447">
        <f>VLOOKUP($P$3,'[1]Mit-2'!$A$5:$AD$19,25,FALSE)</f>
        <v>100</v>
      </c>
      <c r="H9" s="90" t="s">
        <v>232</v>
      </c>
      <c r="I9" s="429"/>
      <c r="J9" s="478"/>
      <c r="K9" s="479"/>
      <c r="L9" s="479"/>
      <c r="M9" s="479"/>
      <c r="N9" s="479"/>
      <c r="O9" s="480"/>
      <c r="P9" s="1"/>
      <c r="Q9" s="198"/>
      <c r="R9" s="430"/>
      <c r="S9" s="2"/>
      <c r="T9" s="287">
        <f>[1]Firma!$B$18</f>
        <v>31</v>
      </c>
      <c r="U9" s="1"/>
      <c r="V9" s="1"/>
      <c r="W9" s="1"/>
      <c r="X9" s="1"/>
      <c r="Y9" s="1"/>
      <c r="Z9" s="1"/>
    </row>
    <row r="10" spans="1:26" ht="10.9" customHeight="1" x14ac:dyDescent="0.2">
      <c r="A10" s="189" t="s">
        <v>108</v>
      </c>
      <c r="B10" s="26"/>
      <c r="C10" s="26"/>
      <c r="D10" s="26"/>
      <c r="E10" s="26"/>
      <c r="F10" s="26"/>
      <c r="G10" s="26"/>
      <c r="H10" s="26"/>
      <c r="I10" s="190"/>
      <c r="J10" s="481" t="s">
        <v>227</v>
      </c>
      <c r="K10" s="484" t="s">
        <v>228</v>
      </c>
      <c r="L10" s="487" t="s">
        <v>229</v>
      </c>
      <c r="M10" s="487" t="s">
        <v>264</v>
      </c>
      <c r="N10" s="487" t="s">
        <v>265</v>
      </c>
      <c r="O10" s="557" t="s">
        <v>266</v>
      </c>
      <c r="P10" s="1"/>
      <c r="Q10" s="538" t="s">
        <v>207</v>
      </c>
      <c r="R10" s="539"/>
      <c r="S10" s="540"/>
      <c r="T10" s="1"/>
      <c r="U10" s="1"/>
      <c r="V10" s="1"/>
      <c r="W10" s="1"/>
      <c r="X10" s="1"/>
      <c r="Y10" s="1"/>
      <c r="Z10" s="1"/>
    </row>
    <row r="11" spans="1:26" s="94" customFormat="1" ht="13.9" customHeight="1" x14ac:dyDescent="0.15">
      <c r="A11" s="181" t="s">
        <v>16</v>
      </c>
      <c r="B11" s="182" t="s">
        <v>11</v>
      </c>
      <c r="C11" s="182" t="s">
        <v>12</v>
      </c>
      <c r="D11" s="182" t="s">
        <v>13</v>
      </c>
      <c r="E11" s="544" t="s">
        <v>14</v>
      </c>
      <c r="F11" s="545"/>
      <c r="G11" s="182" t="s">
        <v>15</v>
      </c>
      <c r="H11" s="183" t="s">
        <v>218</v>
      </c>
      <c r="I11" s="186"/>
      <c r="J11" s="482"/>
      <c r="K11" s="485"/>
      <c r="L11" s="488"/>
      <c r="M11" s="488"/>
      <c r="N11" s="488"/>
      <c r="O11" s="558"/>
      <c r="P11" s="93"/>
      <c r="Q11" s="541"/>
      <c r="R11" s="542"/>
      <c r="S11" s="543"/>
      <c r="T11" s="93"/>
      <c r="U11" s="93"/>
      <c r="V11" s="93"/>
      <c r="W11" s="93"/>
      <c r="X11" s="93"/>
      <c r="Y11" s="93"/>
      <c r="Z11" s="93"/>
    </row>
    <row r="12" spans="1:26" x14ac:dyDescent="0.2">
      <c r="A12" s="171">
        <f>VLOOKUP($G$8,'[1]Lohntab-Tab-retr.'!$A$7:$O$15,10,FALSE)</f>
        <v>1477.83</v>
      </c>
      <c r="B12" s="172">
        <f>VLOOKUP($G$8,'[1]Lohntab-Tab-retr.'!$A$21:$O$29,10,FALSE)</f>
        <v>532.54</v>
      </c>
      <c r="C12" s="172">
        <f>I8*VLOOKUP($G$8,'[1]Lohntab-Tab-retr.'!$A$63:$O$71,10,FALSE)</f>
        <v>0</v>
      </c>
      <c r="D12" s="172">
        <f>VLOOKUP($G$8,'[1]Lohntab-Tab-retr.'!$A$35:$O$43,10,FALSE)</f>
        <v>0</v>
      </c>
      <c r="E12" s="560">
        <f>VLOOKUP($G$8,'[1]Lohntab-Tab-retr.'!$A$49:$O$57,10,FALSE)</f>
        <v>8</v>
      </c>
      <c r="F12" s="560"/>
      <c r="G12" s="172">
        <f>VLOOKUP($P$3,'[1]Mit-2'!$A$24:$P$38,11,FALSE)</f>
        <v>0</v>
      </c>
      <c r="H12" s="172">
        <f>VLOOKUP($G$8,'[1]Lohntab-Tab-retr.'!$A$77:$O$85,10,FALSE)</f>
        <v>0</v>
      </c>
      <c r="I12" s="173"/>
      <c r="J12" s="482"/>
      <c r="K12" s="485"/>
      <c r="L12" s="488"/>
      <c r="M12" s="488"/>
      <c r="N12" s="488"/>
      <c r="O12" s="558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s="94" customFormat="1" ht="13.9" customHeight="1" x14ac:dyDescent="0.15">
      <c r="A13" s="168" t="s">
        <v>17</v>
      </c>
      <c r="B13" s="169" t="s">
        <v>18</v>
      </c>
      <c r="C13" s="169" t="s">
        <v>19</v>
      </c>
      <c r="D13" s="169" t="s">
        <v>20</v>
      </c>
      <c r="E13" s="561" t="s">
        <v>24</v>
      </c>
      <c r="F13" s="562"/>
      <c r="G13" s="169" t="s">
        <v>23</v>
      </c>
      <c r="H13" s="170" t="s">
        <v>21</v>
      </c>
      <c r="I13" s="177" t="s">
        <v>22</v>
      </c>
      <c r="J13" s="482"/>
      <c r="K13" s="485"/>
      <c r="L13" s="488"/>
      <c r="M13" s="488"/>
      <c r="N13" s="488"/>
      <c r="O13" s="558"/>
      <c r="P13" s="93"/>
      <c r="Q13" s="93"/>
      <c r="R13" s="93"/>
      <c r="S13" s="93"/>
      <c r="T13" s="93"/>
      <c r="U13" s="93"/>
      <c r="V13" s="93"/>
      <c r="W13" s="93"/>
      <c r="X13" s="93"/>
      <c r="Y13" s="93"/>
      <c r="Z13" s="93"/>
    </row>
    <row r="14" spans="1:26" x14ac:dyDescent="0.2">
      <c r="A14" s="178">
        <f>[1]Tab!G140</f>
        <v>168</v>
      </c>
      <c r="B14" s="240">
        <f>[1]Tab!G141</f>
        <v>26</v>
      </c>
      <c r="C14" s="179">
        <f>ROUND(I14/A14,5)</f>
        <v>12.014110000000001</v>
      </c>
      <c r="D14" s="179">
        <f>ROUND(I14/B14,5)</f>
        <v>77.629620000000003</v>
      </c>
      <c r="E14" s="563">
        <f>COUNT(K19:K49)</f>
        <v>0</v>
      </c>
      <c r="F14" s="563"/>
      <c r="G14" s="240">
        <f>K50</f>
        <v>0</v>
      </c>
      <c r="H14" s="240">
        <v>26</v>
      </c>
      <c r="I14" s="180">
        <f>SUM(A12:I12)</f>
        <v>2018.37</v>
      </c>
      <c r="J14" s="482"/>
      <c r="K14" s="485"/>
      <c r="L14" s="488"/>
      <c r="M14" s="488"/>
      <c r="N14" s="488"/>
      <c r="O14" s="558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</row>
    <row r="15" spans="1:26" s="94" customFormat="1" ht="13.9" customHeight="1" x14ac:dyDescent="0.15">
      <c r="A15" s="174" t="s">
        <v>26</v>
      </c>
      <c r="B15" s="175" t="s">
        <v>27</v>
      </c>
      <c r="C15" s="175" t="s">
        <v>25</v>
      </c>
      <c r="D15" s="175" t="s">
        <v>259</v>
      </c>
      <c r="E15" s="564" t="s">
        <v>260</v>
      </c>
      <c r="F15" s="565"/>
      <c r="G15" s="175" t="s">
        <v>261</v>
      </c>
      <c r="H15" s="146"/>
      <c r="I15" s="176"/>
      <c r="J15" s="482"/>
      <c r="K15" s="485"/>
      <c r="L15" s="488"/>
      <c r="M15" s="488"/>
      <c r="N15" s="488"/>
      <c r="O15" s="558"/>
      <c r="P15" s="93"/>
      <c r="Q15" s="93"/>
      <c r="R15" s="93"/>
      <c r="S15" s="93"/>
      <c r="T15" s="93"/>
      <c r="U15" s="93"/>
      <c r="V15" s="93"/>
      <c r="W15" s="93"/>
      <c r="X15" s="93"/>
      <c r="Y15" s="93"/>
      <c r="Z15" s="93"/>
    </row>
    <row r="16" spans="1:26" x14ac:dyDescent="0.2">
      <c r="A16" s="440">
        <f>'07'!A16+(VLOOKUP($P$3,'[1]Mit-2'!$A$90:$P$104,11,FALSE))*G9%</f>
        <v>0</v>
      </c>
      <c r="B16" s="438">
        <f>M50</f>
        <v>0</v>
      </c>
      <c r="C16" s="438">
        <f>A16-B16</f>
        <v>0</v>
      </c>
      <c r="D16" s="438">
        <f>'07'!D16+(VLOOKUP($P$3,'[1]Mit-2'!$A$90:$AD$104,25,FALSE))*G9%</f>
        <v>0</v>
      </c>
      <c r="E16" s="537">
        <f>N50</f>
        <v>0</v>
      </c>
      <c r="F16" s="537"/>
      <c r="G16" s="438">
        <f>D16-E16</f>
        <v>0</v>
      </c>
      <c r="H16" s="147"/>
      <c r="I16" s="185"/>
      <c r="J16" s="482"/>
      <c r="K16" s="485"/>
      <c r="L16" s="488"/>
      <c r="M16" s="488"/>
      <c r="N16" s="488"/>
      <c r="O16" s="558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</row>
    <row r="17" spans="1:26" ht="3.75" customHeight="1" x14ac:dyDescent="0.2">
      <c r="A17" s="167"/>
      <c r="B17" s="29"/>
      <c r="C17" s="29"/>
      <c r="D17" s="29"/>
      <c r="E17" s="29"/>
      <c r="F17" s="29"/>
      <c r="G17" s="29"/>
      <c r="H17" s="29"/>
      <c r="I17" s="35"/>
      <c r="J17" s="482"/>
      <c r="K17" s="485"/>
      <c r="L17" s="488"/>
      <c r="M17" s="488"/>
      <c r="N17" s="488"/>
      <c r="O17" s="558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s="92" customFormat="1" ht="16.899999999999999" customHeight="1" x14ac:dyDescent="0.15">
      <c r="A18" s="162" t="s">
        <v>28</v>
      </c>
      <c r="B18" s="163"/>
      <c r="C18" s="163"/>
      <c r="D18" s="96"/>
      <c r="E18" s="535" t="s">
        <v>29</v>
      </c>
      <c r="F18" s="536"/>
      <c r="G18" s="99" t="s">
        <v>31</v>
      </c>
      <c r="H18" s="86" t="s">
        <v>30</v>
      </c>
      <c r="I18" s="100" t="s">
        <v>233</v>
      </c>
      <c r="J18" s="483"/>
      <c r="K18" s="486"/>
      <c r="L18" s="489"/>
      <c r="M18" s="489"/>
      <c r="N18" s="489"/>
      <c r="O18" s="559"/>
      <c r="P18" s="97"/>
      <c r="V18" s="98"/>
      <c r="W18" s="98"/>
      <c r="X18" s="98"/>
      <c r="Y18" s="97"/>
      <c r="Z18" s="97"/>
    </row>
    <row r="19" spans="1:26" ht="12" customHeight="1" x14ac:dyDescent="0.2">
      <c r="A19" s="533"/>
      <c r="B19" s="534"/>
      <c r="C19" s="534"/>
      <c r="D19" s="417"/>
      <c r="E19" s="418"/>
      <c r="F19" s="419"/>
      <c r="G19" s="206">
        <f>VLOOKUP(A19,A66:F121,5,FALSE)</f>
        <v>0</v>
      </c>
      <c r="H19" s="308">
        <f>IF(E19="",0,IF(A19="",0,IF(E19="Std-ore",ROUND(C$14+C$14*G19,5),IF(E19="Tage-gg.",ROUND(D$14+D$14*G19,5),IF(E19="Monat-mese",ROUND($I$14+$I$14*G19,2))))))</f>
        <v>0</v>
      </c>
      <c r="I19" s="151">
        <f>ROUND(H19*F19,2)</f>
        <v>0</v>
      </c>
      <c r="J19" s="305">
        <v>1</v>
      </c>
      <c r="K19" s="409"/>
      <c r="L19" s="410"/>
      <c r="M19" s="410"/>
      <c r="N19" s="410"/>
      <c r="O19" s="411"/>
      <c r="P19" s="6"/>
      <c r="V19" s="1"/>
      <c r="W19" s="1"/>
      <c r="X19" s="1"/>
      <c r="Y19" s="7"/>
      <c r="Z19" s="6"/>
    </row>
    <row r="20" spans="1:26" ht="12" customHeight="1" x14ac:dyDescent="0.2">
      <c r="A20" s="526"/>
      <c r="B20" s="527"/>
      <c r="C20" s="527"/>
      <c r="D20" s="420"/>
      <c r="E20" s="421"/>
      <c r="F20" s="422"/>
      <c r="G20" s="206">
        <f>VLOOKUP(A20,A67:F122,5,FALSE)</f>
        <v>0</v>
      </c>
      <c r="H20" s="308">
        <f t="shared" ref="H20:H28" si="0">IF(E20="",0,IF(A20="",0,IF(E20="Std-ore",ROUND(C$14+C$14*G20,5),IF(E20="Tage-gg.",ROUND(D$14+D$14*G20,5),IF(E20="Monat-mese",ROUND($I$14+$I$14*G20,2))))))</f>
        <v>0</v>
      </c>
      <c r="I20" s="152">
        <f t="shared" ref="I20:I28" si="1">IF(A20="Abzug Bruttoberechnung Krankengeld INPS",ROUND(I19*G20,2),ROUND(H20*F20,2))</f>
        <v>0</v>
      </c>
      <c r="J20" s="306">
        <v>2</v>
      </c>
      <c r="K20" s="412"/>
      <c r="L20" s="413"/>
      <c r="M20" s="413"/>
      <c r="N20" s="413"/>
      <c r="O20" s="414"/>
      <c r="P20" s="6"/>
      <c r="V20" s="28"/>
      <c r="W20" s="6"/>
    </row>
    <row r="21" spans="1:26" ht="12" customHeight="1" x14ac:dyDescent="0.2">
      <c r="A21" s="526"/>
      <c r="B21" s="527"/>
      <c r="C21" s="527"/>
      <c r="D21" s="420"/>
      <c r="E21" s="421"/>
      <c r="F21" s="422"/>
      <c r="G21" s="206">
        <f>VLOOKUP(A21,A66:F121,5,FALSE)</f>
        <v>0</v>
      </c>
      <c r="H21" s="308">
        <f t="shared" si="0"/>
        <v>0</v>
      </c>
      <c r="I21" s="152">
        <f t="shared" si="1"/>
        <v>0</v>
      </c>
      <c r="J21" s="306">
        <v>3</v>
      </c>
      <c r="K21" s="412"/>
      <c r="L21" s="413"/>
      <c r="M21" s="413"/>
      <c r="N21" s="413"/>
      <c r="O21" s="414"/>
      <c r="P21" s="6"/>
      <c r="V21" s="28"/>
      <c r="W21" s="6"/>
    </row>
    <row r="22" spans="1:26" ht="12" customHeight="1" x14ac:dyDescent="0.2">
      <c r="A22" s="526"/>
      <c r="B22" s="527"/>
      <c r="C22" s="527"/>
      <c r="D22" s="420"/>
      <c r="E22" s="421"/>
      <c r="F22" s="422"/>
      <c r="G22" s="206">
        <f>VLOOKUP(A22,A67:F122,5,FALSE)</f>
        <v>0</v>
      </c>
      <c r="H22" s="308">
        <f>IF(E22="",0,IF(A22="",0,IF(E22="Std-ore",ROUND(C$14+C$14*G22,5),IF(E22="Tage-gg.",ROUND(D$14+D$14*G22,5),IF(E22="Monat-mese",ROUND($I$14+$I$14*G22,2))))))</f>
        <v>0</v>
      </c>
      <c r="I22" s="152">
        <f t="shared" si="1"/>
        <v>0</v>
      </c>
      <c r="J22" s="306">
        <v>4</v>
      </c>
      <c r="K22" s="412"/>
      <c r="L22" s="413"/>
      <c r="M22" s="413"/>
      <c r="N22" s="413"/>
      <c r="O22" s="414"/>
      <c r="P22" s="6"/>
      <c r="V22" s="28"/>
      <c r="W22" s="6"/>
    </row>
    <row r="23" spans="1:26" ht="12" customHeight="1" x14ac:dyDescent="0.2">
      <c r="A23" s="526"/>
      <c r="B23" s="527"/>
      <c r="C23" s="527"/>
      <c r="D23" s="420"/>
      <c r="E23" s="421"/>
      <c r="F23" s="422"/>
      <c r="G23" s="206">
        <f t="shared" ref="G23:G28" si="2">VLOOKUP(A23,A67:F122,5,FALSE)</f>
        <v>0</v>
      </c>
      <c r="H23" s="308">
        <f>IF(E23="",0,IF(A23="",0,IF(E23="Std-ore",ROUND(C$14+C$14*G23,5),IF(E23="Tage-gg.",ROUND(D$14+D$14*G23,5),IF(E23="Monat-mese",ROUND($I$14+$I$14*G23,2))))))</f>
        <v>0</v>
      </c>
      <c r="I23" s="152">
        <f t="shared" si="1"/>
        <v>0</v>
      </c>
      <c r="J23" s="306">
        <v>5</v>
      </c>
      <c r="K23" s="412"/>
      <c r="L23" s="413"/>
      <c r="M23" s="413"/>
      <c r="N23" s="413"/>
      <c r="O23" s="414"/>
      <c r="P23" s="6"/>
      <c r="V23" s="28"/>
      <c r="W23" s="6"/>
    </row>
    <row r="24" spans="1:26" ht="12" customHeight="1" x14ac:dyDescent="0.2">
      <c r="A24" s="526"/>
      <c r="B24" s="527"/>
      <c r="C24" s="527"/>
      <c r="D24" s="420"/>
      <c r="E24" s="421"/>
      <c r="F24" s="422"/>
      <c r="G24" s="206">
        <f t="shared" si="2"/>
        <v>0</v>
      </c>
      <c r="H24" s="308">
        <f t="shared" si="0"/>
        <v>0</v>
      </c>
      <c r="I24" s="152">
        <f t="shared" si="1"/>
        <v>0</v>
      </c>
      <c r="J24" s="306">
        <v>6</v>
      </c>
      <c r="K24" s="412"/>
      <c r="L24" s="413"/>
      <c r="M24" s="413"/>
      <c r="N24" s="413"/>
      <c r="O24" s="414"/>
      <c r="P24" s="6"/>
      <c r="V24" s="28"/>
      <c r="W24" s="6"/>
    </row>
    <row r="25" spans="1:26" ht="12" customHeight="1" x14ac:dyDescent="0.2">
      <c r="A25" s="526"/>
      <c r="B25" s="527"/>
      <c r="C25" s="527"/>
      <c r="D25" s="420"/>
      <c r="E25" s="421"/>
      <c r="F25" s="422"/>
      <c r="G25" s="206">
        <f t="shared" si="2"/>
        <v>0</v>
      </c>
      <c r="H25" s="308">
        <f t="shared" si="0"/>
        <v>0</v>
      </c>
      <c r="I25" s="152">
        <f t="shared" si="1"/>
        <v>0</v>
      </c>
      <c r="J25" s="306">
        <v>7</v>
      </c>
      <c r="K25" s="412"/>
      <c r="L25" s="413"/>
      <c r="M25" s="413"/>
      <c r="N25" s="413"/>
      <c r="O25" s="414"/>
      <c r="P25" s="6"/>
      <c r="W25" s="6"/>
    </row>
    <row r="26" spans="1:26" ht="12" customHeight="1" x14ac:dyDescent="0.2">
      <c r="A26" s="526"/>
      <c r="B26" s="527"/>
      <c r="C26" s="527"/>
      <c r="D26" s="420"/>
      <c r="E26" s="421"/>
      <c r="F26" s="422"/>
      <c r="G26" s="206">
        <f t="shared" si="2"/>
        <v>0</v>
      </c>
      <c r="H26" s="308">
        <f t="shared" si="0"/>
        <v>0</v>
      </c>
      <c r="I26" s="152">
        <f t="shared" si="1"/>
        <v>0</v>
      </c>
      <c r="J26" s="306">
        <v>8</v>
      </c>
      <c r="K26" s="412"/>
      <c r="L26" s="413"/>
      <c r="M26" s="413"/>
      <c r="N26" s="413"/>
      <c r="O26" s="414"/>
      <c r="P26" s="6"/>
      <c r="W26" s="6"/>
    </row>
    <row r="27" spans="1:26" ht="12" customHeight="1" x14ac:dyDescent="0.2">
      <c r="A27" s="526"/>
      <c r="B27" s="527"/>
      <c r="C27" s="527"/>
      <c r="D27" s="420"/>
      <c r="E27" s="421"/>
      <c r="F27" s="422"/>
      <c r="G27" s="206">
        <f t="shared" si="2"/>
        <v>0</v>
      </c>
      <c r="H27" s="308">
        <f t="shared" si="0"/>
        <v>0</v>
      </c>
      <c r="I27" s="152">
        <f t="shared" si="1"/>
        <v>0</v>
      </c>
      <c r="J27" s="306">
        <v>9</v>
      </c>
      <c r="K27" s="412"/>
      <c r="L27" s="413"/>
      <c r="M27" s="413"/>
      <c r="N27" s="413"/>
      <c r="O27" s="414"/>
      <c r="P27" s="6"/>
    </row>
    <row r="28" spans="1:26" ht="12" customHeight="1" x14ac:dyDescent="0.2">
      <c r="A28" s="526"/>
      <c r="B28" s="527"/>
      <c r="C28" s="527"/>
      <c r="D28" s="420"/>
      <c r="E28" s="421"/>
      <c r="F28" s="422"/>
      <c r="G28" s="206">
        <f t="shared" si="2"/>
        <v>0</v>
      </c>
      <c r="H28" s="308">
        <f t="shared" si="0"/>
        <v>0</v>
      </c>
      <c r="I28" s="152">
        <f t="shared" si="1"/>
        <v>0</v>
      </c>
      <c r="J28" s="306">
        <v>10</v>
      </c>
      <c r="K28" s="412"/>
      <c r="L28" s="413"/>
      <c r="M28" s="413"/>
      <c r="N28" s="413"/>
      <c r="O28" s="414"/>
      <c r="P28" s="6"/>
    </row>
    <row r="29" spans="1:26" ht="12" customHeight="1" x14ac:dyDescent="0.2">
      <c r="A29" s="119" t="s">
        <v>109</v>
      </c>
      <c r="B29" s="57"/>
      <c r="C29" s="57"/>
      <c r="D29" s="57"/>
      <c r="E29" s="57"/>
      <c r="F29" s="58"/>
      <c r="G29" s="57"/>
      <c r="H29" s="57"/>
      <c r="I29" s="154">
        <f>SUM(I19:I28)</f>
        <v>0</v>
      </c>
      <c r="J29" s="306">
        <v>11</v>
      </c>
      <c r="K29" s="412"/>
      <c r="L29" s="413"/>
      <c r="M29" s="413"/>
      <c r="N29" s="415"/>
      <c r="O29" s="416"/>
      <c r="P29" s="9"/>
    </row>
    <row r="30" spans="1:26" ht="12" customHeight="1" x14ac:dyDescent="0.2">
      <c r="A30" s="211" t="s">
        <v>236</v>
      </c>
      <c r="B30" s="55"/>
      <c r="C30" s="59"/>
      <c r="D30" s="59"/>
      <c r="E30" s="59"/>
      <c r="F30" s="102" t="s">
        <v>55</v>
      </c>
      <c r="G30" s="73">
        <f>ROUND(I29,0)</f>
        <v>0</v>
      </c>
      <c r="H30" s="164">
        <f>'[1]Mit-1'!$C$21</f>
        <v>9.1899999999999996E-2</v>
      </c>
      <c r="I30" s="151">
        <f>-ROUND(G30*H30,2)</f>
        <v>0</v>
      </c>
      <c r="J30" s="306">
        <v>12</v>
      </c>
      <c r="K30" s="412"/>
      <c r="L30" s="413"/>
      <c r="M30" s="413"/>
      <c r="N30" s="413"/>
      <c r="O30" s="414"/>
      <c r="P30" s="1"/>
      <c r="Z30" s="1"/>
    </row>
    <row r="31" spans="1:26" ht="12" customHeight="1" x14ac:dyDescent="0.2">
      <c r="A31" s="104" t="s">
        <v>237</v>
      </c>
      <c r="B31" s="61"/>
      <c r="C31" s="62"/>
      <c r="D31" s="62"/>
      <c r="E31" s="62"/>
      <c r="F31" s="103" t="s">
        <v>55</v>
      </c>
      <c r="G31" s="60">
        <f>ROUND(I29,2)</f>
        <v>0</v>
      </c>
      <c r="H31" s="165">
        <f>VLOOKUP($P$3,'[1]Mit-1'!$A$5:$U$19,19,FALSE)</f>
        <v>1.23E-2</v>
      </c>
      <c r="I31" s="152">
        <f>-ROUND(G31*H31,2)</f>
        <v>0</v>
      </c>
      <c r="J31" s="306">
        <v>13</v>
      </c>
      <c r="K31" s="412"/>
      <c r="L31" s="413"/>
      <c r="M31" s="413"/>
      <c r="N31" s="413"/>
      <c r="O31" s="414"/>
      <c r="P31" s="1"/>
      <c r="Z31" s="1"/>
    </row>
    <row r="32" spans="1:26" ht="12" customHeight="1" x14ac:dyDescent="0.2">
      <c r="A32" s="104" t="s">
        <v>234</v>
      </c>
      <c r="B32" s="61"/>
      <c r="C32" s="62"/>
      <c r="D32" s="62"/>
      <c r="E32" s="62"/>
      <c r="F32" s="103" t="s">
        <v>55</v>
      </c>
      <c r="G32" s="327">
        <f>IF(I29=0,0,IF(R9&gt;0,SUM(A12:B12)/T9*R9,SUM(A12:B12)))</f>
        <v>0</v>
      </c>
      <c r="H32" s="165">
        <f>'[1]Mit-1'!$I$21</f>
        <v>1E-3</v>
      </c>
      <c r="I32" s="152">
        <f>-ROUND(G32*H32,2)</f>
        <v>0</v>
      </c>
      <c r="J32" s="306">
        <v>14</v>
      </c>
      <c r="K32" s="412"/>
      <c r="L32" s="413"/>
      <c r="M32" s="413"/>
      <c r="N32" s="413"/>
      <c r="O32" s="414"/>
      <c r="P32" s="1"/>
      <c r="Z32" s="1"/>
    </row>
    <row r="33" spans="1:26" ht="12" customHeight="1" x14ac:dyDescent="0.2">
      <c r="A33" s="104" t="s">
        <v>235</v>
      </c>
      <c r="B33" s="61"/>
      <c r="C33" s="62"/>
      <c r="D33" s="62"/>
      <c r="E33" s="62"/>
      <c r="F33" s="103" t="s">
        <v>55</v>
      </c>
      <c r="G33" s="60">
        <f>G30</f>
        <v>0</v>
      </c>
      <c r="H33" s="165">
        <f>'[1]Mit-1'!$I$23</f>
        <v>4.0000000000000001E-3</v>
      </c>
      <c r="I33" s="152">
        <f>-ROUND(G33*H33,2)</f>
        <v>0</v>
      </c>
      <c r="J33" s="306">
        <v>15</v>
      </c>
      <c r="K33" s="412"/>
      <c r="L33" s="413"/>
      <c r="M33" s="413"/>
      <c r="N33" s="413"/>
      <c r="O33" s="414"/>
      <c r="P33" s="1"/>
      <c r="Z33" s="1"/>
    </row>
    <row r="34" spans="1:26" ht="12" customHeight="1" x14ac:dyDescent="0.2">
      <c r="A34" s="104" t="s">
        <v>258</v>
      </c>
      <c r="B34" s="61"/>
      <c r="C34" s="62"/>
      <c r="D34" s="62"/>
      <c r="E34" s="62"/>
      <c r="F34" s="394"/>
      <c r="G34" s="52"/>
      <c r="H34" s="395"/>
      <c r="I34" s="152">
        <f>-IF(I29=0,0,'[1]Mit-1'!$I$25)</f>
        <v>0</v>
      </c>
      <c r="J34" s="306">
        <v>16</v>
      </c>
      <c r="K34" s="412"/>
      <c r="L34" s="413"/>
      <c r="M34" s="413"/>
      <c r="N34" s="413"/>
      <c r="O34" s="414"/>
      <c r="P34" s="1"/>
      <c r="Z34" s="1"/>
    </row>
    <row r="35" spans="1:26" ht="12" customHeight="1" x14ac:dyDescent="0.2">
      <c r="A35" s="104" t="s">
        <v>110</v>
      </c>
      <c r="B35" s="10"/>
      <c r="C35" s="10"/>
      <c r="D35" s="10"/>
      <c r="E35" s="10"/>
      <c r="F35" s="10"/>
      <c r="G35" s="11"/>
      <c r="H35" s="63"/>
      <c r="I35" s="152">
        <f ca="1">-SUMIF($A$19:$C$28,"Krankheit INPS-Anteil*",$I$19:$I$28)</f>
        <v>0</v>
      </c>
      <c r="J35" s="306">
        <v>17</v>
      </c>
      <c r="K35" s="412"/>
      <c r="L35" s="413"/>
      <c r="M35" s="413"/>
      <c r="N35" s="413"/>
      <c r="O35" s="414"/>
      <c r="P35" s="6"/>
      <c r="Y35" s="6"/>
      <c r="Z35" s="6"/>
    </row>
    <row r="36" spans="1:26" ht="12" customHeight="1" x14ac:dyDescent="0.2">
      <c r="A36" s="104" t="s">
        <v>111</v>
      </c>
      <c r="B36" s="10"/>
      <c r="C36" s="10"/>
      <c r="D36" s="10"/>
      <c r="E36" s="10"/>
      <c r="F36" s="10"/>
      <c r="G36" s="11"/>
      <c r="H36" s="63"/>
      <c r="I36" s="152">
        <f ca="1">-SUMIF($A$19:$C$28,"Mutterschaft INPS-Anteil*",$I$19:$I$28)</f>
        <v>0</v>
      </c>
      <c r="J36" s="306">
        <v>18</v>
      </c>
      <c r="K36" s="412"/>
      <c r="L36" s="413"/>
      <c r="M36" s="413"/>
      <c r="N36" s="413"/>
      <c r="O36" s="414"/>
      <c r="P36" s="6"/>
      <c r="Y36" s="6"/>
      <c r="Z36" s="6"/>
    </row>
    <row r="37" spans="1:26" ht="12" customHeight="1" x14ac:dyDescent="0.2">
      <c r="A37" s="105" t="s">
        <v>112</v>
      </c>
      <c r="B37" s="10"/>
      <c r="C37" s="10"/>
      <c r="D37" s="10"/>
      <c r="E37" s="10"/>
      <c r="F37" s="10"/>
      <c r="G37" s="11"/>
      <c r="H37" s="52">
        <f>ROUND(IF(I29=0,0,VLOOKUP($P$3,'[1]Mit-1'!$A$5:$AD$19,12,FALSE)),2)</f>
        <v>0</v>
      </c>
      <c r="I37" s="439"/>
      <c r="J37" s="306">
        <v>19</v>
      </c>
      <c r="K37" s="412"/>
      <c r="L37" s="413"/>
      <c r="M37" s="413"/>
      <c r="N37" s="413"/>
      <c r="O37" s="414"/>
      <c r="P37" s="6"/>
      <c r="Y37" s="6"/>
      <c r="Z37" s="6"/>
    </row>
    <row r="38" spans="1:26" ht="12" customHeight="1" x14ac:dyDescent="0.2">
      <c r="A38" s="107" t="s">
        <v>113</v>
      </c>
      <c r="B38" s="10"/>
      <c r="C38" s="10"/>
      <c r="D38" s="10"/>
      <c r="E38" s="10"/>
      <c r="F38" s="10"/>
      <c r="G38" s="11"/>
      <c r="H38" s="237">
        <f ca="1">IF(SUM(I29:I37)-H37&lt;0,0,SUM(I29:I36)-H37)</f>
        <v>0</v>
      </c>
      <c r="I38" s="160"/>
      <c r="J38" s="306">
        <v>20</v>
      </c>
      <c r="K38" s="412"/>
      <c r="L38" s="413"/>
      <c r="M38" s="413"/>
      <c r="N38" s="413"/>
      <c r="O38" s="414"/>
      <c r="P38" s="6"/>
      <c r="Y38" s="6"/>
      <c r="Z38" s="6"/>
    </row>
    <row r="39" spans="1:26" ht="12" customHeight="1" x14ac:dyDescent="0.2">
      <c r="A39" s="211" t="s">
        <v>143</v>
      </c>
      <c r="B39" s="14"/>
      <c r="C39" s="14"/>
      <c r="D39" s="14"/>
      <c r="E39" s="14"/>
      <c r="F39" s="14"/>
      <c r="G39" s="14"/>
      <c r="H39" s="239">
        <f ca="1">-U50</f>
        <v>0</v>
      </c>
      <c r="I39" s="159"/>
      <c r="J39" s="306">
        <v>21</v>
      </c>
      <c r="K39" s="412"/>
      <c r="L39" s="413"/>
      <c r="M39" s="413"/>
      <c r="N39" s="413"/>
      <c r="O39" s="414"/>
      <c r="P39" s="6"/>
      <c r="R39" s="216"/>
      <c r="V39" s="6"/>
      <c r="W39" s="6"/>
      <c r="X39" s="6"/>
      <c r="Y39" s="6"/>
      <c r="Z39" s="6"/>
    </row>
    <row r="40" spans="1:26" ht="12" customHeight="1" x14ac:dyDescent="0.2">
      <c r="A40" s="104" t="s">
        <v>144</v>
      </c>
      <c r="B40" s="10"/>
      <c r="C40" s="10"/>
      <c r="D40" s="10"/>
      <c r="E40" s="10"/>
      <c r="F40" s="10"/>
      <c r="G40" s="10"/>
      <c r="H40" s="242">
        <f>ROUND(IF(I29=0,0,VLOOKUP($P$3,'[1]Mit-1'!$A$5:$AB$19,13,FALSE)/[1]Firma!$B$24*IF(R9=0,T9,R9)),2)</f>
        <v>0</v>
      </c>
      <c r="I40" s="156"/>
      <c r="J40" s="306">
        <v>22</v>
      </c>
      <c r="K40" s="412"/>
      <c r="L40" s="413"/>
      <c r="M40" s="413"/>
      <c r="N40" s="413"/>
      <c r="O40" s="414"/>
      <c r="P40" s="6"/>
      <c r="Q40" s="220"/>
      <c r="R40" s="216"/>
      <c r="S40" s="217"/>
      <c r="T40" s="218"/>
      <c r="U40" s="219"/>
      <c r="V40" s="6"/>
      <c r="W40" s="6"/>
      <c r="X40" s="6"/>
      <c r="Y40" s="6"/>
      <c r="Z40" s="6"/>
    </row>
    <row r="41" spans="1:26" ht="12" customHeight="1" x14ac:dyDescent="0.2">
      <c r="A41" s="110" t="s">
        <v>145</v>
      </c>
      <c r="B41" s="221"/>
      <c r="C41" s="221"/>
      <c r="D41" s="221"/>
      <c r="E41" s="221"/>
      <c r="F41" s="221"/>
      <c r="G41" s="221"/>
      <c r="H41" s="242">
        <f>ROUND(IF(I29=0,0,VLOOKUP($P$3,'[1]Mit-2'!$A$46:$P$60,3,FALSE)/12),2)</f>
        <v>0</v>
      </c>
      <c r="I41" s="286"/>
      <c r="J41" s="306">
        <v>23</v>
      </c>
      <c r="K41" s="412"/>
      <c r="L41" s="413"/>
      <c r="M41" s="413"/>
      <c r="N41" s="413"/>
      <c r="O41" s="414"/>
      <c r="P41" s="6"/>
      <c r="Q41" s="492" t="s">
        <v>4</v>
      </c>
      <c r="R41" s="493"/>
      <c r="S41" s="494" t="s">
        <v>7</v>
      </c>
      <c r="T41" s="498" t="s">
        <v>5</v>
      </c>
      <c r="U41" s="490" t="s">
        <v>2</v>
      </c>
      <c r="V41" s="6"/>
      <c r="W41" s="6"/>
      <c r="X41" s="6"/>
      <c r="Y41" s="6"/>
      <c r="Z41" s="6"/>
    </row>
    <row r="42" spans="1:26" ht="12" customHeight="1" x14ac:dyDescent="0.2">
      <c r="A42" s="108" t="s">
        <v>146</v>
      </c>
      <c r="B42" s="64"/>
      <c r="C42" s="64"/>
      <c r="D42" s="64"/>
      <c r="E42" s="64"/>
      <c r="F42" s="64"/>
      <c r="G42" s="64"/>
      <c r="H42" s="65"/>
      <c r="I42" s="157">
        <f ca="1">IF(SUM(H39:H41)&gt;=0,0,SUM(H39:H41))</f>
        <v>0</v>
      </c>
      <c r="J42" s="306">
        <v>24</v>
      </c>
      <c r="K42" s="412"/>
      <c r="L42" s="413"/>
      <c r="M42" s="413"/>
      <c r="N42" s="413"/>
      <c r="O42" s="414"/>
      <c r="P42" s="6"/>
      <c r="Q42" s="529"/>
      <c r="R42" s="530"/>
      <c r="S42" s="532"/>
      <c r="T42" s="531"/>
      <c r="U42" s="528"/>
      <c r="V42" s="6"/>
      <c r="W42" s="6"/>
      <c r="X42" s="6"/>
      <c r="Y42" s="6"/>
      <c r="Z42" s="6"/>
    </row>
    <row r="43" spans="1:26" ht="12" customHeight="1" x14ac:dyDescent="0.2">
      <c r="A43" s="106" t="s">
        <v>141</v>
      </c>
      <c r="B43" s="212"/>
      <c r="C43" s="10"/>
      <c r="D43" s="213"/>
      <c r="E43" s="574"/>
      <c r="F43" s="575"/>
      <c r="G43" s="214"/>
      <c r="H43" s="215" t="s">
        <v>33</v>
      </c>
      <c r="I43" s="151"/>
      <c r="J43" s="306">
        <v>25</v>
      </c>
      <c r="K43" s="412"/>
      <c r="L43" s="413"/>
      <c r="M43" s="413"/>
      <c r="N43" s="413"/>
      <c r="O43" s="414"/>
      <c r="P43" s="6"/>
      <c r="Q43" s="81" t="s">
        <v>0</v>
      </c>
      <c r="R43" s="82" t="s">
        <v>1</v>
      </c>
      <c r="S43" s="495"/>
      <c r="T43" s="499"/>
      <c r="U43" s="491"/>
      <c r="V43" s="6"/>
      <c r="W43" s="6"/>
      <c r="X43" s="6"/>
      <c r="Y43" s="6"/>
      <c r="Z43" s="6"/>
    </row>
    <row r="44" spans="1:26" ht="12" customHeight="1" x14ac:dyDescent="0.2">
      <c r="A44" s="104" t="s">
        <v>114</v>
      </c>
      <c r="B44" s="15"/>
      <c r="C44" s="8"/>
      <c r="D44" s="16"/>
      <c r="E44" s="582"/>
      <c r="F44" s="583"/>
      <c r="G44" s="17"/>
      <c r="H44" s="407"/>
      <c r="I44" s="158">
        <f>-H44</f>
        <v>0</v>
      </c>
      <c r="J44" s="306">
        <v>26</v>
      </c>
      <c r="K44" s="412"/>
      <c r="L44" s="413"/>
      <c r="M44" s="413"/>
      <c r="N44" s="413"/>
      <c r="O44" s="414"/>
      <c r="P44" s="6"/>
      <c r="Q44" s="78">
        <f>[1]Tab!E8</f>
        <v>0</v>
      </c>
      <c r="R44" s="74">
        <f>[1]Tab!F8</f>
        <v>1250</v>
      </c>
      <c r="S44" s="75">
        <f>[1]Tab!G8</f>
        <v>0.23</v>
      </c>
      <c r="T44" s="76">
        <f>ROUND(R44*S44,2)</f>
        <v>287.5</v>
      </c>
      <c r="U44" s="76">
        <f ca="1">ROUND(IF(AND($H$38&lt;=R44,$H$38&gt;0),$H$38*S44,0),2)</f>
        <v>0</v>
      </c>
      <c r="V44" s="6"/>
      <c r="W44" s="6"/>
      <c r="X44" s="6"/>
      <c r="Y44" s="6"/>
      <c r="Z44" s="6"/>
    </row>
    <row r="45" spans="1:26" s="1" customFormat="1" ht="12" customHeight="1" x14ac:dyDescent="0.2">
      <c r="A45" s="110" t="s">
        <v>115</v>
      </c>
      <c r="B45" s="18"/>
      <c r="C45" s="111" t="s">
        <v>225</v>
      </c>
      <c r="D45" s="19">
        <v>11</v>
      </c>
      <c r="E45" s="511"/>
      <c r="F45" s="512"/>
      <c r="G45" s="20"/>
      <c r="H45" s="24">
        <f>IF(I29=0,0,VLOOKUP($P$3,'[1]Mit-2'!$A$65:$P$79,11,FALSE))</f>
        <v>0</v>
      </c>
      <c r="I45" s="155">
        <f>IF($I$9="",ROUND(IF($I$29=0,0,-H45/D45),2),-Steuern!J52)</f>
        <v>0</v>
      </c>
      <c r="J45" s="306">
        <v>27</v>
      </c>
      <c r="K45" s="412"/>
      <c r="L45" s="413"/>
      <c r="M45" s="413"/>
      <c r="N45" s="413"/>
      <c r="O45" s="414"/>
      <c r="P45" s="6"/>
      <c r="Q45" s="78">
        <f>[1]Tab!E9</f>
        <v>1250.01</v>
      </c>
      <c r="R45" s="74">
        <f>[1]Tab!F9</f>
        <v>2333.33</v>
      </c>
      <c r="S45" s="75">
        <f>[1]Tab!G9</f>
        <v>0.23</v>
      </c>
      <c r="T45" s="76">
        <f>ROUND((R45-Q45)*S45+T44,2)</f>
        <v>536.66</v>
      </c>
      <c r="U45" s="76">
        <f ca="1">ROUND(IF(AND($H$38&lt;=R45,$H$38&gt;=Q45),T44+($H$38-R44)*S45,0),2)</f>
        <v>0</v>
      </c>
      <c r="V45" s="6"/>
      <c r="W45" s="6"/>
      <c r="X45" s="6"/>
      <c r="Y45" s="6"/>
      <c r="Z45" s="6"/>
    </row>
    <row r="46" spans="1:26" ht="12" customHeight="1" x14ac:dyDescent="0.2">
      <c r="A46" s="101" t="s">
        <v>142</v>
      </c>
      <c r="B46" s="13"/>
      <c r="C46" s="14"/>
      <c r="D46" s="12"/>
      <c r="E46" s="580"/>
      <c r="F46" s="581"/>
      <c r="G46" s="112"/>
      <c r="H46" s="113" t="s">
        <v>33</v>
      </c>
      <c r="I46" s="151"/>
      <c r="J46" s="306">
        <v>28</v>
      </c>
      <c r="K46" s="412"/>
      <c r="L46" s="413"/>
      <c r="M46" s="413"/>
      <c r="N46" s="413"/>
      <c r="O46" s="414"/>
      <c r="P46" s="6"/>
      <c r="Q46" s="78">
        <f>[1]Tab!E10</f>
        <v>2333.34</v>
      </c>
      <c r="R46" s="74">
        <f>[1]Tab!F10</f>
        <v>4166.67</v>
      </c>
      <c r="S46" s="75">
        <f>[1]Tab!G10</f>
        <v>0.35</v>
      </c>
      <c r="T46" s="76">
        <f>ROUND((R46-Q46)*S46+T45,2)</f>
        <v>1178.33</v>
      </c>
      <c r="U46" s="76">
        <f ca="1">ROUND(IF(AND($H$38&lt;=R46,$H$38&gt;=Q46),T45+($H$38-R45)*S46,0),2)</f>
        <v>0</v>
      </c>
      <c r="V46" s="6"/>
      <c r="W46" s="6"/>
      <c r="X46" s="6"/>
      <c r="Y46" s="6"/>
      <c r="Z46" s="6"/>
    </row>
    <row r="47" spans="1:26" ht="12" customHeight="1" x14ac:dyDescent="0.2">
      <c r="A47" s="104" t="s">
        <v>114</v>
      </c>
      <c r="B47" s="15"/>
      <c r="C47" s="8"/>
      <c r="D47" s="16"/>
      <c r="E47" s="511"/>
      <c r="F47" s="512"/>
      <c r="G47" s="17"/>
      <c r="H47" s="407"/>
      <c r="I47" s="152">
        <f>-H47</f>
        <v>0</v>
      </c>
      <c r="J47" s="306">
        <v>29</v>
      </c>
      <c r="K47" s="412"/>
      <c r="L47" s="413"/>
      <c r="M47" s="413"/>
      <c r="N47" s="413"/>
      <c r="O47" s="414"/>
      <c r="P47" s="1"/>
      <c r="Q47" s="78">
        <f>[1]Tab!E11</f>
        <v>4166.68</v>
      </c>
      <c r="R47" s="74">
        <f>[1]Tab!F11</f>
        <v>0</v>
      </c>
      <c r="S47" s="75">
        <f>[1]Tab!G11</f>
        <v>0.43</v>
      </c>
      <c r="T47" s="76"/>
      <c r="U47" s="76">
        <f ca="1">ROUND(IF(AND($H$38&lt;=R47,$H$38&gt;=Q47),T46+($H$38-R46)*S47,0),2)</f>
        <v>0</v>
      </c>
      <c r="V47" s="1"/>
      <c r="W47" s="1"/>
      <c r="X47" s="1"/>
      <c r="Y47" s="1"/>
      <c r="Z47" s="1"/>
    </row>
    <row r="48" spans="1:26" ht="12" customHeight="1" x14ac:dyDescent="0.2">
      <c r="A48" s="224" t="s">
        <v>115</v>
      </c>
      <c r="B48" s="225"/>
      <c r="C48" s="226" t="s">
        <v>54</v>
      </c>
      <c r="D48" s="227">
        <v>11</v>
      </c>
      <c r="E48" s="578"/>
      <c r="F48" s="579"/>
      <c r="G48" s="228"/>
      <c r="H48" s="339">
        <f>IF(I29=0,0,VLOOKUP($P$3,'[1]Mit-2'!$A$65:$AD$79,25,FALSE))</f>
        <v>0</v>
      </c>
      <c r="I48" s="155">
        <f>IF($I$9="",ROUND(IF($I$29=0,0,-H48/D48),2),-Steuern!N52)</f>
        <v>0</v>
      </c>
      <c r="J48" s="306">
        <v>30</v>
      </c>
      <c r="K48" s="412"/>
      <c r="L48" s="413"/>
      <c r="M48" s="413"/>
      <c r="N48" s="413"/>
      <c r="O48" s="414"/>
      <c r="P48" s="1"/>
      <c r="Q48" s="78">
        <f>[1]Tab!E12</f>
        <v>0</v>
      </c>
      <c r="R48" s="74"/>
      <c r="S48" s="75">
        <f>[1]Tab!G12</f>
        <v>0</v>
      </c>
      <c r="T48" s="77"/>
      <c r="U48" s="76">
        <f ca="1">ROUND(IF($H$38&gt;R47,T47+($H$38-R47)*S48,0),2)</f>
        <v>0</v>
      </c>
      <c r="V48" s="1"/>
      <c r="W48" s="1"/>
      <c r="X48" s="1"/>
      <c r="Y48" s="1"/>
      <c r="Z48" s="1"/>
    </row>
    <row r="49" spans="1:26" ht="12" customHeight="1" x14ac:dyDescent="0.2">
      <c r="A49" s="110" t="s">
        <v>147</v>
      </c>
      <c r="B49" s="231">
        <v>0.3</v>
      </c>
      <c r="C49" s="232">
        <f>H48</f>
        <v>0</v>
      </c>
      <c r="D49" s="233">
        <f>ROUND(C49*B49,2)</f>
        <v>0</v>
      </c>
      <c r="E49" s="514"/>
      <c r="F49" s="515"/>
      <c r="G49" s="234" t="s">
        <v>248</v>
      </c>
      <c r="H49" s="235">
        <v>9</v>
      </c>
      <c r="I49" s="393">
        <f>IF($I$9="",ROUND(IF($I$29=0,0,-D49/H49),2),-Steuern!R53)</f>
        <v>0</v>
      </c>
      <c r="J49" s="310">
        <v>31</v>
      </c>
      <c r="K49" s="412"/>
      <c r="L49" s="413"/>
      <c r="M49" s="413"/>
      <c r="N49" s="413"/>
      <c r="O49" s="414"/>
      <c r="P49" s="1"/>
      <c r="Q49" s="78">
        <f>[1]Tab!E13</f>
        <v>0</v>
      </c>
      <c r="R49" s="74"/>
      <c r="S49" s="75">
        <f>[1]Tab!G13</f>
        <v>0</v>
      </c>
      <c r="T49" s="77"/>
      <c r="U49" s="76">
        <f ca="1">ROUND(IF($H$38&gt;R48,T48+($H$38-R48)*S49,0),2)</f>
        <v>0</v>
      </c>
      <c r="V49" s="1"/>
      <c r="W49" s="1"/>
      <c r="X49" s="1"/>
      <c r="Y49" s="1"/>
      <c r="Z49" s="1"/>
    </row>
    <row r="50" spans="1:26" ht="12" customHeight="1" x14ac:dyDescent="0.2">
      <c r="A50" s="109" t="s">
        <v>139</v>
      </c>
      <c r="B50" s="21"/>
      <c r="C50" s="114" t="s">
        <v>34</v>
      </c>
      <c r="D50" s="114" t="s">
        <v>160</v>
      </c>
      <c r="E50" s="509" t="s">
        <v>161</v>
      </c>
      <c r="F50" s="510"/>
      <c r="G50" s="114" t="s">
        <v>162</v>
      </c>
      <c r="H50" s="230" t="s">
        <v>36</v>
      </c>
      <c r="I50" s="156"/>
      <c r="J50" s="311"/>
      <c r="K50" s="500">
        <f>SUM(K19:K49)</f>
        <v>0</v>
      </c>
      <c r="L50" s="496">
        <f>SUM(L19:L49)</f>
        <v>0</v>
      </c>
      <c r="M50" s="496">
        <f>SUM(M19:M49)</f>
        <v>0</v>
      </c>
      <c r="N50" s="496">
        <f>SUM(N19:N49)</f>
        <v>0</v>
      </c>
      <c r="O50" s="502">
        <f>SUM(O19:O49)</f>
        <v>0</v>
      </c>
      <c r="P50" s="6"/>
      <c r="Q50" s="208" t="s">
        <v>8</v>
      </c>
      <c r="R50" s="209"/>
      <c r="S50" s="79"/>
      <c r="T50" s="64"/>
      <c r="U50" s="80">
        <f ca="1">ROUND(SUM(U44:U47),2)</f>
        <v>0</v>
      </c>
      <c r="V50" s="6"/>
      <c r="W50" s="6"/>
      <c r="X50" s="6"/>
      <c r="Y50" s="6"/>
      <c r="Z50" s="6"/>
    </row>
    <row r="51" spans="1:26" ht="12" customHeight="1" x14ac:dyDescent="0.2">
      <c r="A51" s="104" t="s">
        <v>117</v>
      </c>
      <c r="B51" s="22"/>
      <c r="C51" s="60">
        <f>IF(I29=0,0,Steuern!J84)</f>
        <v>0</v>
      </c>
      <c r="D51" s="60">
        <f>IF(I29=0,0,Steuern!L84)</f>
        <v>0</v>
      </c>
      <c r="E51" s="511">
        <f>IF(I29=0,0,Steuern!N84)</f>
        <v>0</v>
      </c>
      <c r="F51" s="512"/>
      <c r="G51" s="60">
        <f>IF(I29=0,0,Steuern!P84)</f>
        <v>0</v>
      </c>
      <c r="H51" s="67">
        <f>IF(I29=0,0,Steuern!R84)</f>
        <v>0</v>
      </c>
      <c r="I51" s="156"/>
      <c r="J51" s="309"/>
      <c r="K51" s="501"/>
      <c r="L51" s="497"/>
      <c r="M51" s="497"/>
      <c r="N51" s="497"/>
      <c r="O51" s="503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</row>
    <row r="52" spans="1:26" ht="12" customHeight="1" x14ac:dyDescent="0.2">
      <c r="A52" s="110" t="s">
        <v>138</v>
      </c>
      <c r="B52" s="23"/>
      <c r="C52" s="68">
        <f>IF($I$9="",0,Steuern!J89)</f>
        <v>0</v>
      </c>
      <c r="D52" s="68">
        <f>U60</f>
        <v>0</v>
      </c>
      <c r="E52" s="520">
        <f>IF($I$9="",0,conguaglio!F60)</f>
        <v>0</v>
      </c>
      <c r="F52" s="521"/>
      <c r="G52" s="50">
        <f>IF($I$9="",0,conguaglio!G63)</f>
        <v>0</v>
      </c>
      <c r="H52" s="312">
        <f>IF((D52-E52-G52)&lt;0,0,D52-E52-G52)</f>
        <v>0</v>
      </c>
      <c r="I52" s="153">
        <f>IF($I$9="",0,H51-H52)</f>
        <v>0</v>
      </c>
      <c r="J52" s="504" t="s">
        <v>230</v>
      </c>
      <c r="K52" s="505"/>
      <c r="L52" s="505"/>
      <c r="M52" s="505"/>
      <c r="N52" s="505"/>
      <c r="O52" s="506"/>
      <c r="P52" s="6"/>
      <c r="Q52" s="6"/>
      <c r="R52" s="6"/>
      <c r="S52" s="6"/>
      <c r="T52" s="66"/>
      <c r="U52" s="6"/>
      <c r="V52" s="6"/>
      <c r="W52" s="6"/>
      <c r="X52" s="6"/>
      <c r="Y52" s="6"/>
      <c r="Z52" s="6"/>
    </row>
    <row r="53" spans="1:26" ht="12" customHeight="1" x14ac:dyDescent="0.2">
      <c r="A53" s="119" t="s">
        <v>119</v>
      </c>
      <c r="B53" s="26"/>
      <c r="C53" s="26"/>
      <c r="D53" s="26"/>
      <c r="E53" s="26"/>
      <c r="F53" s="26"/>
      <c r="G53" s="26"/>
      <c r="H53" s="26"/>
      <c r="I53" s="154">
        <f ca="1">SUM(I29:I52)</f>
        <v>0</v>
      </c>
      <c r="J53" s="307"/>
      <c r="O53" s="134"/>
      <c r="P53" s="3"/>
      <c r="Q53" s="492" t="s">
        <v>6</v>
      </c>
      <c r="R53" s="493"/>
      <c r="S53" s="494" t="s">
        <v>7</v>
      </c>
      <c r="T53" s="498" t="s">
        <v>5</v>
      </c>
      <c r="U53" s="490" t="s">
        <v>2</v>
      </c>
      <c r="V53" s="3"/>
      <c r="W53" s="3"/>
      <c r="X53" s="3"/>
      <c r="Y53" s="3"/>
      <c r="Z53" s="3"/>
    </row>
    <row r="54" spans="1:26" ht="12" customHeight="1" x14ac:dyDescent="0.2">
      <c r="A54" s="115" t="s">
        <v>120</v>
      </c>
      <c r="B54" s="95" t="s">
        <v>124</v>
      </c>
      <c r="C54" s="191">
        <f>IF($I$9="",0,VLOOKUP($P$3,'[1]Mit-1'!$A$5:$AD$19,22,FALSE))</f>
        <v>0</v>
      </c>
      <c r="D54" s="95" t="s">
        <v>38</v>
      </c>
      <c r="E54" s="522">
        <f>ROUND(IF($I$9="",0,Steuern!$D$89/13.5),2)</f>
        <v>0</v>
      </c>
      <c r="F54" s="523"/>
      <c r="G54" s="95" t="s">
        <v>40</v>
      </c>
      <c r="H54" s="192">
        <f>IF($I$9="",0,Steuern!$F$89)</f>
        <v>0</v>
      </c>
      <c r="I54" s="398">
        <f>C54+E54-H54</f>
        <v>0</v>
      </c>
      <c r="J54" s="568"/>
      <c r="K54" s="476"/>
      <c r="L54" s="476"/>
      <c r="M54" s="476"/>
      <c r="N54" s="476"/>
      <c r="O54" s="477"/>
      <c r="Q54" s="81" t="s">
        <v>0</v>
      </c>
      <c r="R54" s="82" t="s">
        <v>1</v>
      </c>
      <c r="S54" s="495"/>
      <c r="T54" s="499"/>
      <c r="U54" s="491"/>
      <c r="V54" s="1"/>
      <c r="W54" s="1"/>
      <c r="X54" s="1"/>
    </row>
    <row r="55" spans="1:26" ht="15" customHeight="1" x14ac:dyDescent="0.2">
      <c r="A55" s="116" t="s">
        <v>121</v>
      </c>
      <c r="B55" s="117" t="s">
        <v>37</v>
      </c>
      <c r="C55" s="405"/>
      <c r="D55" s="117" t="s">
        <v>39</v>
      </c>
      <c r="E55" s="524"/>
      <c r="F55" s="525"/>
      <c r="G55" s="117" t="s">
        <v>35</v>
      </c>
      <c r="H55" s="407"/>
      <c r="I55" s="399">
        <f>-(E55-H55)</f>
        <v>0</v>
      </c>
      <c r="J55" s="402"/>
      <c r="K55" s="401"/>
      <c r="L55" s="401"/>
      <c r="M55" s="401"/>
      <c r="N55" s="572"/>
      <c r="O55" s="573"/>
      <c r="Q55" s="78">
        <f>[1]Tab!A8</f>
        <v>0</v>
      </c>
      <c r="R55" s="74">
        <f>[1]Tab!D8</f>
        <v>15000</v>
      </c>
      <c r="S55" s="75">
        <f>S44</f>
        <v>0.23</v>
      </c>
      <c r="T55" s="76">
        <f>ROUND(R55*S55,2)</f>
        <v>3450</v>
      </c>
      <c r="U55" s="76">
        <f>ROUND(IF(AND($C$52&lt;=R55,C52&gt;0),$C$52*S55,0),2)</f>
        <v>0</v>
      </c>
      <c r="V55" s="1"/>
      <c r="W55" s="1"/>
      <c r="X55" s="1"/>
    </row>
    <row r="56" spans="1:26" ht="16.899999999999999" customHeight="1" x14ac:dyDescent="0.2">
      <c r="A56" s="453" t="s">
        <v>122</v>
      </c>
      <c r="B56" s="118" t="s">
        <v>125</v>
      </c>
      <c r="C56" s="454">
        <f>ROUND(C54*'[1]Mit-2'!$K$84%,2)</f>
        <v>0</v>
      </c>
      <c r="D56" s="118" t="s">
        <v>262</v>
      </c>
      <c r="E56" s="520">
        <f>ROUND(C56*[1]Tab!$G$142,2)</f>
        <v>0</v>
      </c>
      <c r="F56" s="521"/>
      <c r="G56" s="455"/>
      <c r="H56" s="456"/>
      <c r="I56" s="153">
        <f>C56-E56</f>
        <v>0</v>
      </c>
      <c r="J56" s="402"/>
      <c r="K56" s="401"/>
      <c r="L56" s="401"/>
      <c r="M56" s="401"/>
      <c r="N56" s="572"/>
      <c r="O56" s="573"/>
      <c r="Q56" s="78">
        <f>[1]Tab!A9</f>
        <v>15000.01</v>
      </c>
      <c r="R56" s="74">
        <f>[1]Tab!D9</f>
        <v>28000</v>
      </c>
      <c r="S56" s="75">
        <f>S45</f>
        <v>0.23</v>
      </c>
      <c r="T56" s="76">
        <f>ROUND((R56-Q56)*S56+T55,2)</f>
        <v>6440</v>
      </c>
      <c r="U56" s="76">
        <f>ROUND(IF(AND($C$52&lt;=R56,$C$52&gt;=Q56),T55+($C$52-R55)*S56,0),2)</f>
        <v>0</v>
      </c>
    </row>
    <row r="57" spans="1:26" ht="12.75" customHeight="1" x14ac:dyDescent="0.2">
      <c r="A57" s="448" t="s">
        <v>242</v>
      </c>
      <c r="B57" s="449"/>
      <c r="C57" s="449"/>
      <c r="D57" s="450"/>
      <c r="E57" s="518"/>
      <c r="F57" s="518"/>
      <c r="G57" s="450"/>
      <c r="H57" s="451"/>
      <c r="I57" s="452">
        <f ca="1">ROUND(IF(SUM(H39:H40)&gt;=0,0,VLOOKUP($P$3,'[1]Mit-1'!$A$5:$AC$19,20,FALSE)/[1]Firma!$C$24*IF(R9=0,T9,R9)),2)</f>
        <v>0</v>
      </c>
      <c r="J57" s="569"/>
      <c r="K57" s="570"/>
      <c r="L57" s="570"/>
      <c r="M57" s="570"/>
      <c r="N57" s="570"/>
      <c r="O57" s="571"/>
      <c r="P57" s="3"/>
      <c r="Q57" s="78">
        <f>[1]Tab!A10</f>
        <v>28000.01</v>
      </c>
      <c r="R57" s="74">
        <f>[1]Tab!D10</f>
        <v>50000</v>
      </c>
      <c r="S57" s="75">
        <f>S46</f>
        <v>0.35</v>
      </c>
      <c r="T57" s="76">
        <f>ROUND((R57-Q57)*S57+T56,2)</f>
        <v>14140</v>
      </c>
      <c r="U57" s="76">
        <f>ROUND(IF(AND($C$52&lt;=R57,$C$52&gt;=Q57),T56+($C$52-R56)*S57,0),2)</f>
        <v>0</v>
      </c>
      <c r="V57" s="3"/>
      <c r="W57" s="3"/>
      <c r="X57" s="3"/>
      <c r="Y57" s="3"/>
      <c r="Z57" s="3"/>
    </row>
    <row r="58" spans="1:26" ht="12.75" customHeight="1" x14ac:dyDescent="0.2">
      <c r="A58" s="465"/>
      <c r="B58" s="466"/>
      <c r="C58" s="466"/>
      <c r="D58" s="467"/>
      <c r="E58" s="519"/>
      <c r="F58" s="519"/>
      <c r="G58" s="467"/>
      <c r="H58" s="468"/>
      <c r="I58" s="469"/>
      <c r="J58" s="402"/>
      <c r="K58" s="401"/>
      <c r="L58" s="401"/>
      <c r="M58" s="401"/>
      <c r="N58" s="572"/>
      <c r="O58" s="573"/>
      <c r="P58" s="3"/>
      <c r="Q58" s="78">
        <f>[1]Tab!A11</f>
        <v>50000.01</v>
      </c>
      <c r="R58" s="74">
        <f>[1]Tab!D11</f>
        <v>0</v>
      </c>
      <c r="S58" s="75">
        <f>S47</f>
        <v>0.43</v>
      </c>
      <c r="T58" s="76"/>
      <c r="U58" s="76">
        <f>ROUND(IF(AND($C$52&lt;=R58,$C$52&gt;=Q58),T57+($C$52-R57)*S58,0),2)</f>
        <v>0</v>
      </c>
      <c r="V58" s="3"/>
      <c r="W58" s="3"/>
      <c r="X58" s="3"/>
      <c r="Y58" s="3"/>
      <c r="Z58" s="3"/>
    </row>
    <row r="59" spans="1:26" ht="12" customHeight="1" x14ac:dyDescent="0.2">
      <c r="A59" s="106" t="s">
        <v>123</v>
      </c>
      <c r="B59" s="8"/>
      <c r="C59" s="49"/>
      <c r="D59" s="117" t="s">
        <v>41</v>
      </c>
      <c r="E59" s="576">
        <f>-'07'!H59</f>
        <v>0</v>
      </c>
      <c r="F59" s="577"/>
      <c r="G59" s="117" t="s">
        <v>42</v>
      </c>
      <c r="H59" s="145">
        <f>IF(I29=0,0,SUM(I60-Q61))</f>
        <v>0</v>
      </c>
      <c r="I59" s="399">
        <f>IF(I29=0,0,SUM(E59,H59))</f>
        <v>0</v>
      </c>
      <c r="J59" s="402"/>
      <c r="K59" s="401"/>
      <c r="L59" s="401"/>
      <c r="M59" s="401"/>
      <c r="N59" s="572"/>
      <c r="O59" s="573"/>
      <c r="P59" s="3"/>
      <c r="Q59" s="78">
        <f>[1]Tab!A12</f>
        <v>0</v>
      </c>
      <c r="R59" s="74"/>
      <c r="S59" s="75">
        <f>S48</f>
        <v>0</v>
      </c>
      <c r="T59" s="77"/>
      <c r="U59" s="76">
        <f>ROUND(IF($C$52&gt;R58,T58+($C$52-R58)*S59,0),2)</f>
        <v>0</v>
      </c>
      <c r="V59" s="3"/>
      <c r="W59" s="3"/>
      <c r="X59" s="3"/>
      <c r="Y59" s="3"/>
      <c r="Z59" s="3"/>
    </row>
    <row r="60" spans="1:26" ht="12" customHeight="1" x14ac:dyDescent="0.2">
      <c r="A60" s="319" t="s">
        <v>43</v>
      </c>
      <c r="B60" s="320"/>
      <c r="C60" s="320"/>
      <c r="D60" s="320"/>
      <c r="E60" s="320"/>
      <c r="F60" s="320"/>
      <c r="G60" s="320"/>
      <c r="H60" s="320"/>
      <c r="I60" s="400">
        <f>IF(I29=0,0,ROUNDUP(Q61,0))</f>
        <v>0</v>
      </c>
      <c r="J60" s="403"/>
      <c r="K60" s="404"/>
      <c r="L60" s="404"/>
      <c r="M60" s="404"/>
      <c r="N60" s="566"/>
      <c r="O60" s="567"/>
      <c r="P60" s="6"/>
      <c r="Q60" s="208" t="s">
        <v>8</v>
      </c>
      <c r="R60" s="209"/>
      <c r="S60" s="79"/>
      <c r="T60" s="64"/>
      <c r="U60" s="80">
        <f>ROUND(SUM(U55:U59),2)</f>
        <v>0</v>
      </c>
      <c r="V60" s="6"/>
      <c r="W60" s="6"/>
      <c r="X60" s="6"/>
      <c r="Y60" s="6"/>
      <c r="Z60" s="6"/>
    </row>
    <row r="61" spans="1:26" ht="15" customHeight="1" x14ac:dyDescent="0.2">
      <c r="A61" s="1"/>
      <c r="B61" s="1"/>
      <c r="C61" s="1"/>
      <c r="D61" s="1"/>
      <c r="E61" s="1"/>
      <c r="F61" s="1"/>
      <c r="G61" s="1"/>
      <c r="H61" s="1"/>
      <c r="I61" s="1"/>
      <c r="K61" s="1"/>
      <c r="L61" s="1"/>
      <c r="M61" s="1"/>
      <c r="Q61" s="142">
        <f ca="1">SUM(I53:I58,E59)</f>
        <v>0</v>
      </c>
    </row>
    <row r="62" spans="1:26" x14ac:dyDescent="0.2">
      <c r="Q62" s="142"/>
    </row>
    <row r="63" spans="1:26" ht="15.75" customHeight="1" x14ac:dyDescent="0.2">
      <c r="Q63" s="142"/>
    </row>
    <row r="64" spans="1:26" x14ac:dyDescent="0.2">
      <c r="A64" s="71" t="str">
        <f>'[1]Beschr-Descr.'!A1</f>
        <v xml:space="preserve">Beschreibung Lohnelemente  </v>
      </c>
      <c r="Q64" s="142"/>
    </row>
    <row r="65" spans="1:6" x14ac:dyDescent="0.2">
      <c r="A65" s="71" t="str">
        <f>'[1]Beschr-Descr.'!A2</f>
        <v>Descrizione elementi di retribuzione</v>
      </c>
      <c r="F65" s="71" t="s">
        <v>3</v>
      </c>
    </row>
    <row r="66" spans="1:6" x14ac:dyDescent="0.2">
      <c r="A66" s="84">
        <f>'[1]Beschr-Descr.'!A3</f>
        <v>0</v>
      </c>
      <c r="B66" s="84">
        <f>'[1]Beschr-Descr.'!B3</f>
        <v>0</v>
      </c>
      <c r="C66" s="84">
        <f>'[1]Beschr-Descr.'!C3</f>
        <v>0</v>
      </c>
      <c r="D66" s="84">
        <f>'[1]Beschr-Descr.'!D3</f>
        <v>0</v>
      </c>
      <c r="E66" s="84">
        <f>'[1]Beschr-Descr.'!E3</f>
        <v>0</v>
      </c>
    </row>
    <row r="67" spans="1:6" x14ac:dyDescent="0.2">
      <c r="A67" s="84" t="str">
        <f>'[1]Beschr-Descr.'!A4</f>
        <v>Normalentlohnung</v>
      </c>
      <c r="B67" s="84"/>
      <c r="C67" s="84">
        <f>'[1]Beschr-Descr.'!C4</f>
        <v>0</v>
      </c>
      <c r="D67" s="84">
        <f>'[1]Beschr-Descr.'!D4</f>
        <v>0</v>
      </c>
      <c r="E67" s="207">
        <f>'[1]Beschr-Descr.'!E4</f>
        <v>0</v>
      </c>
      <c r="F67" t="s">
        <v>44</v>
      </c>
    </row>
    <row r="68" spans="1:6" x14ac:dyDescent="0.2">
      <c r="A68" s="84" t="str">
        <f>'[1]Beschr-Descr.'!A5</f>
        <v>Genossener Urlaub</v>
      </c>
      <c r="B68" s="84"/>
      <c r="C68" s="84">
        <f>'[1]Beschr-Descr.'!C5</f>
        <v>0</v>
      </c>
      <c r="D68" s="84">
        <f>'[1]Beschr-Descr.'!D5</f>
        <v>0</v>
      </c>
      <c r="E68" s="207">
        <f>'[1]Beschr-Descr.'!E5</f>
        <v>0</v>
      </c>
      <c r="F68" t="s">
        <v>45</v>
      </c>
    </row>
    <row r="69" spans="1:6" x14ac:dyDescent="0.2">
      <c r="A69" s="84" t="str">
        <f>'[1]Beschr-Descr.'!A6</f>
        <v>Genossene Freistellungen</v>
      </c>
      <c r="B69" s="84"/>
      <c r="C69" s="84">
        <f>'[1]Beschr-Descr.'!C6</f>
        <v>0</v>
      </c>
      <c r="D69" s="84">
        <f>'[1]Beschr-Descr.'!D6</f>
        <v>0</v>
      </c>
      <c r="E69" s="207">
        <f>'[1]Beschr-Descr.'!E6</f>
        <v>0</v>
      </c>
      <c r="F69" t="s">
        <v>46</v>
      </c>
    </row>
    <row r="70" spans="1:6" x14ac:dyDescent="0.2">
      <c r="A70" s="84" t="str">
        <f>'[1]Beschr-Descr.'!A7</f>
        <v>Nicht genossener Urlaub</v>
      </c>
      <c r="B70" s="84"/>
      <c r="C70" s="84">
        <f>'[1]Beschr-Descr.'!C7</f>
        <v>0</v>
      </c>
      <c r="D70" s="84">
        <f>'[1]Beschr-Descr.'!D7</f>
        <v>0</v>
      </c>
      <c r="E70" s="207">
        <f>'[1]Beschr-Descr.'!E7</f>
        <v>0</v>
      </c>
    </row>
    <row r="71" spans="1:6" x14ac:dyDescent="0.2">
      <c r="A71" s="84" t="str">
        <f>'[1]Beschr-Descr.'!A8</f>
        <v>Nicht genossene Freistellungen</v>
      </c>
      <c r="B71" s="84"/>
      <c r="C71" s="84">
        <f>'[1]Beschr-Descr.'!C8</f>
        <v>0</v>
      </c>
      <c r="D71" s="84">
        <f>'[1]Beschr-Descr.'!D8</f>
        <v>0</v>
      </c>
      <c r="E71" s="207">
        <f>'[1]Beschr-Descr.'!E8</f>
        <v>0</v>
      </c>
    </row>
    <row r="72" spans="1:6" x14ac:dyDescent="0.2">
      <c r="A72" s="84" t="str">
        <f>'[1]Beschr-Descr.'!A9</f>
        <v>Nicht genossene Feiertage</v>
      </c>
      <c r="B72" s="84"/>
      <c r="C72" s="84">
        <f>'[1]Beschr-Descr.'!C9</f>
        <v>0</v>
      </c>
      <c r="D72" s="84">
        <f>'[1]Beschr-Descr.'!D9</f>
        <v>0</v>
      </c>
      <c r="E72" s="207">
        <f>'[1]Beschr-Descr.'!E9</f>
        <v>0</v>
      </c>
    </row>
    <row r="73" spans="1:6" x14ac:dyDescent="0.2">
      <c r="A73" s="84" t="str">
        <f>'[1]Beschr-Descr.'!A10</f>
        <v>Zulage für Kassarisiko</v>
      </c>
      <c r="B73" s="84"/>
      <c r="C73" s="84">
        <f>'[1]Beschr-Descr.'!C10</f>
        <v>0</v>
      </c>
      <c r="D73" s="84">
        <f>'[1]Beschr-Descr.'!D10</f>
        <v>0</v>
      </c>
      <c r="E73" s="207">
        <f>'[1]Beschr-Descr.'!E10</f>
        <v>0</v>
      </c>
    </row>
    <row r="74" spans="1:6" x14ac:dyDescent="0.2">
      <c r="A74" s="84">
        <f>'[1]Beschr-Descr.'!A11</f>
        <v>0</v>
      </c>
      <c r="B74" s="84"/>
      <c r="C74" s="84">
        <f>'[1]Beschr-Descr.'!C11</f>
        <v>0</v>
      </c>
      <c r="D74" s="84">
        <f>'[1]Beschr-Descr.'!D11</f>
        <v>0</v>
      </c>
      <c r="E74" s="207">
        <f>'[1]Beschr-Descr.'!E11</f>
        <v>0</v>
      </c>
    </row>
    <row r="75" spans="1:6" x14ac:dyDescent="0.2">
      <c r="A75" s="84" t="str">
        <f>'[1]Beschr-Descr.'!A12</f>
        <v xml:space="preserve">Überstunden 15%  </v>
      </c>
      <c r="B75" s="84"/>
      <c r="C75" s="84">
        <f>'[1]Beschr-Descr.'!C12</f>
        <v>0</v>
      </c>
      <c r="D75" s="84">
        <f>'[1]Beschr-Descr.'!D12</f>
        <v>0</v>
      </c>
      <c r="E75" s="207">
        <f>'[1]Beschr-Descr.'!E12</f>
        <v>0.15</v>
      </c>
    </row>
    <row r="76" spans="1:6" x14ac:dyDescent="0.2">
      <c r="A76" s="84" t="str">
        <f>'[1]Beschr-Descr.'!A13</f>
        <v xml:space="preserve">Überstunden 20%  </v>
      </c>
      <c r="B76" s="84"/>
      <c r="C76" s="84">
        <f>'[1]Beschr-Descr.'!C13</f>
        <v>0</v>
      </c>
      <c r="D76" s="84">
        <f>'[1]Beschr-Descr.'!D13</f>
        <v>0</v>
      </c>
      <c r="E76" s="207">
        <f>'[1]Beschr-Descr.'!E13</f>
        <v>0.2</v>
      </c>
    </row>
    <row r="77" spans="1:6" x14ac:dyDescent="0.2">
      <c r="A77" s="84" t="str">
        <f>'[1]Beschr-Descr.'!A14</f>
        <v xml:space="preserve">Überstunden 30%  </v>
      </c>
      <c r="B77" s="84"/>
      <c r="C77" s="84">
        <f>'[1]Beschr-Descr.'!C14</f>
        <v>0</v>
      </c>
      <c r="D77" s="84">
        <f>'[1]Beschr-Descr.'!D14</f>
        <v>0</v>
      </c>
      <c r="E77" s="207">
        <f>'[1]Beschr-Descr.'!E14</f>
        <v>0.3</v>
      </c>
    </row>
    <row r="78" spans="1:6" x14ac:dyDescent="0.2">
      <c r="A78" s="84" t="str">
        <f>'[1]Beschr-Descr.'!A15</f>
        <v xml:space="preserve">Überstunden 50%  </v>
      </c>
      <c r="B78" s="84"/>
      <c r="C78" s="84">
        <f>'[1]Beschr-Descr.'!C15</f>
        <v>0</v>
      </c>
      <c r="D78" s="84">
        <f>'[1]Beschr-Descr.'!D15</f>
        <v>0</v>
      </c>
      <c r="E78" s="207">
        <f>'[1]Beschr-Descr.'!E15</f>
        <v>0.5</v>
      </c>
    </row>
    <row r="79" spans="1:6" x14ac:dyDescent="0.2">
      <c r="A79" s="84" t="str">
        <f>'[1]Beschr-Descr.'!A16</f>
        <v>Nachtstunden 50%</v>
      </c>
      <c r="B79" s="84"/>
      <c r="C79" s="84">
        <f>'[1]Beschr-Descr.'!C16</f>
        <v>0</v>
      </c>
      <c r="D79" s="84">
        <f>'[1]Beschr-Descr.'!D16</f>
        <v>0</v>
      </c>
      <c r="E79" s="207">
        <f>'[1]Beschr-Descr.'!E16</f>
        <v>0.5</v>
      </c>
    </row>
    <row r="80" spans="1:6" x14ac:dyDescent="0.2">
      <c r="A80" s="84">
        <f>'[1]Beschr-Descr.'!A17</f>
        <v>0</v>
      </c>
      <c r="B80" s="84"/>
      <c r="C80" s="84">
        <f>'[1]Beschr-Descr.'!C17</f>
        <v>0</v>
      </c>
      <c r="D80" s="84">
        <f>'[1]Beschr-Descr.'!D17</f>
        <v>0</v>
      </c>
      <c r="E80" s="207">
        <f>'[1]Beschr-Descr.'!E17</f>
        <v>0</v>
      </c>
    </row>
    <row r="81" spans="1:5" x14ac:dyDescent="0.2">
      <c r="A81" s="84" t="str">
        <f>'[1]Beschr-Descr.'!A18</f>
        <v>Krankheit gesamt</v>
      </c>
      <c r="B81" s="84"/>
      <c r="C81" s="84">
        <f>'[1]Beschr-Descr.'!C18</f>
        <v>0</v>
      </c>
      <c r="D81" s="84">
        <f>'[1]Beschr-Descr.'!D18</f>
        <v>0</v>
      </c>
      <c r="E81" s="207">
        <f>'[1]Beschr-Descr.'!E18</f>
        <v>0</v>
      </c>
    </row>
    <row r="82" spans="1:5" x14ac:dyDescent="0.2">
      <c r="A82" s="84" t="str">
        <f>'[1]Beschr-Descr.'!A19</f>
        <v xml:space="preserve">Krankheit INPS-Anteil 50,00% </v>
      </c>
      <c r="B82" s="84"/>
      <c r="C82" s="84">
        <f>'[1]Beschr-Descr.'!C19</f>
        <v>0</v>
      </c>
      <c r="D82" s="84">
        <f>'[1]Beschr-Descr.'!D19</f>
        <v>0</v>
      </c>
      <c r="E82" s="207">
        <f>'[1]Beschr-Descr.'!E19</f>
        <v>-0.5</v>
      </c>
    </row>
    <row r="83" spans="1:5" x14ac:dyDescent="0.2">
      <c r="A83" s="84" t="str">
        <f>'[1]Beschr-Descr.'!A20</f>
        <v xml:space="preserve">Krankheit INPS-Anteil 66,67% </v>
      </c>
      <c r="B83" s="84"/>
      <c r="C83" s="84">
        <f>'[1]Beschr-Descr.'!C20</f>
        <v>0</v>
      </c>
      <c r="D83" s="84">
        <f>'[1]Beschr-Descr.'!D20</f>
        <v>0</v>
      </c>
      <c r="E83" s="207">
        <f>'[1]Beschr-Descr.'!E20</f>
        <v>-0.66669999999999996</v>
      </c>
    </row>
    <row r="84" spans="1:5" x14ac:dyDescent="0.2">
      <c r="A84" s="84" t="str">
        <f>'[1]Beschr-Descr.'!A21</f>
        <v>Mutterschaft Gesamtbetrag</v>
      </c>
      <c r="B84" s="84"/>
      <c r="C84" s="84">
        <f>'[1]Beschr-Descr.'!C21</f>
        <v>0</v>
      </c>
      <c r="D84" s="84">
        <f>'[1]Beschr-Descr.'!D21</f>
        <v>0</v>
      </c>
      <c r="E84" s="207">
        <f>'[1]Beschr-Descr.'!E21</f>
        <v>0</v>
      </c>
    </row>
    <row r="85" spans="1:5" x14ac:dyDescent="0.2">
      <c r="A85" s="84" t="str">
        <f>'[1]Beschr-Descr.'!A22</f>
        <v>Mutterschaft INPS-Anteil 80,00%</v>
      </c>
      <c r="B85" s="84"/>
      <c r="C85" s="84">
        <f>'[1]Beschr-Descr.'!C22</f>
        <v>0</v>
      </c>
      <c r="D85" s="84">
        <f>'[1]Beschr-Descr.'!D22</f>
        <v>0</v>
      </c>
      <c r="E85" s="207">
        <f>'[1]Beschr-Descr.'!E22</f>
        <v>-0.8</v>
      </c>
    </row>
    <row r="86" spans="1:5" x14ac:dyDescent="0.2">
      <c r="A86" s="84" t="str">
        <f>'[1]Beschr-Descr.'!A23</f>
        <v>Abzug Bruttoberechnung Krankengeld INPS</v>
      </c>
      <c r="B86" s="84"/>
      <c r="C86" s="84">
        <f>'[1]Beschr-Descr.'!C23</f>
        <v>0</v>
      </c>
      <c r="D86" s="84">
        <f>'[1]Beschr-Descr.'!D23</f>
        <v>0</v>
      </c>
      <c r="E86" s="207">
        <f>'[1]Beschr-Descr.'!E23</f>
        <v>0.10120030833608633</v>
      </c>
    </row>
    <row r="87" spans="1:5" x14ac:dyDescent="0.2">
      <c r="A87" s="84">
        <f>'[1]Beschr-Descr.'!A24</f>
        <v>0</v>
      </c>
      <c r="B87" s="84"/>
      <c r="C87" s="84">
        <f>'[1]Beschr-Descr.'!C24</f>
        <v>0</v>
      </c>
      <c r="D87" s="84">
        <f>'[1]Beschr-Descr.'!D24</f>
        <v>0</v>
      </c>
      <c r="E87" s="207">
        <f>'[1]Beschr-Descr.'!E24</f>
        <v>0</v>
      </c>
    </row>
    <row r="88" spans="1:5" x14ac:dyDescent="0.2">
      <c r="A88" s="84" t="str">
        <f>'[1]Beschr-Descr.'!A25</f>
        <v xml:space="preserve">13. Monatsgehalt  </v>
      </c>
      <c r="B88" s="84"/>
      <c r="C88" s="84">
        <f>'[1]Beschr-Descr.'!C25</f>
        <v>0</v>
      </c>
      <c r="D88" s="84">
        <f>'[1]Beschr-Descr.'!D25</f>
        <v>0</v>
      </c>
      <c r="E88" s="207">
        <f>'[1]Beschr-Descr.'!E25</f>
        <v>0</v>
      </c>
    </row>
    <row r="89" spans="1:5" x14ac:dyDescent="0.2">
      <c r="A89" s="84" t="str">
        <f>'[1]Beschr-Descr.'!A26</f>
        <v xml:space="preserve">14. Monatsgehalt  </v>
      </c>
      <c r="B89" s="84"/>
      <c r="C89" s="84">
        <f>'[1]Beschr-Descr.'!C26</f>
        <v>0</v>
      </c>
      <c r="D89" s="84">
        <f>'[1]Beschr-Descr.'!D26</f>
        <v>0</v>
      </c>
      <c r="E89" s="207">
        <f>'[1]Beschr-Descr.'!E26</f>
        <v>0</v>
      </c>
    </row>
    <row r="90" spans="1:5" x14ac:dyDescent="0.2">
      <c r="A90" s="84" t="str">
        <f>'[1]Beschr-Descr.'!A27</f>
        <v xml:space="preserve">Nichteinhaltung Kündigungsfrist  </v>
      </c>
      <c r="B90" s="84"/>
      <c r="C90" s="84">
        <f>'[1]Beschr-Descr.'!C27</f>
        <v>0</v>
      </c>
      <c r="D90" s="84">
        <f>'[1]Beschr-Descr.'!D27</f>
        <v>0</v>
      </c>
      <c r="E90" s="207">
        <f>'[1]Beschr-Descr.'!E27</f>
        <v>0</v>
      </c>
    </row>
    <row r="91" spans="1:5" x14ac:dyDescent="0.2">
      <c r="A91" s="84" t="str">
        <f>'[1]Beschr-Descr.'!A28</f>
        <v>Una Tantum</v>
      </c>
      <c r="B91" s="84"/>
      <c r="C91" s="84">
        <f>'[1]Beschr-Descr.'!C28</f>
        <v>0</v>
      </c>
      <c r="D91" s="84">
        <f>'[1]Beschr-Descr.'!D28</f>
        <v>0</v>
      </c>
      <c r="E91" s="207">
        <f>'[1]Beschr-Descr.'!E28</f>
        <v>0</v>
      </c>
    </row>
    <row r="92" spans="1:5" x14ac:dyDescent="0.2">
      <c r="A92" s="84" t="str">
        <f>'[1]Beschr-Descr.'!A29</f>
        <v>Prämie</v>
      </c>
      <c r="B92" s="84"/>
      <c r="C92" s="84">
        <f>'[1]Beschr-Descr.'!C29</f>
        <v>0</v>
      </c>
      <c r="D92" s="84">
        <f>'[1]Beschr-Descr.'!D29</f>
        <v>0</v>
      </c>
      <c r="E92" s="207">
        <f>'[1]Beschr-Descr.'!E29</f>
        <v>0</v>
      </c>
    </row>
    <row r="93" spans="1:5" x14ac:dyDescent="0.2">
      <c r="A93" s="84">
        <f>'[1]Beschr-Descr.'!A30</f>
        <v>0</v>
      </c>
      <c r="B93" s="84"/>
      <c r="C93" s="84">
        <f>'[1]Beschr-Descr.'!C30</f>
        <v>0</v>
      </c>
      <c r="D93" s="84">
        <f>'[1]Beschr-Descr.'!D30</f>
        <v>0</v>
      </c>
      <c r="E93" s="207">
        <f>'[1]Beschr-Descr.'!E30</f>
        <v>0</v>
      </c>
    </row>
    <row r="94" spans="1:5" x14ac:dyDescent="0.2">
      <c r="A94" s="84">
        <f>'[1]Beschr-Descr.'!A31</f>
        <v>0</v>
      </c>
      <c r="B94" s="84"/>
      <c r="C94" s="84">
        <f>'[1]Beschr-Descr.'!C31</f>
        <v>0</v>
      </c>
      <c r="D94" s="84">
        <f>'[1]Beschr-Descr.'!D31</f>
        <v>0</v>
      </c>
      <c r="E94" s="207">
        <f>'[1]Beschr-Descr.'!E31</f>
        <v>0</v>
      </c>
    </row>
    <row r="95" spans="1:5" x14ac:dyDescent="0.2">
      <c r="A95" s="84" t="str">
        <f>'[1]Beschr-Descr.'!A32</f>
        <v xml:space="preserve">Retribuzione ordinaria </v>
      </c>
      <c r="B95" s="84"/>
      <c r="C95" s="84">
        <f>'[1]Beschr-Descr.'!C32</f>
        <v>0</v>
      </c>
      <c r="D95" s="84">
        <f>'[1]Beschr-Descr.'!D32</f>
        <v>0</v>
      </c>
      <c r="E95" s="207">
        <f>'[1]Beschr-Descr.'!E32</f>
        <v>0</v>
      </c>
    </row>
    <row r="96" spans="1:5" x14ac:dyDescent="0.2">
      <c r="A96" s="84" t="str">
        <f>'[1]Beschr-Descr.'!A33</f>
        <v>Ferie godute</v>
      </c>
      <c r="B96" s="84"/>
      <c r="C96" s="84">
        <f>'[1]Beschr-Descr.'!C33</f>
        <v>0</v>
      </c>
      <c r="D96" s="84">
        <f>'[1]Beschr-Descr.'!D33</f>
        <v>0</v>
      </c>
      <c r="E96" s="207">
        <f>'[1]Beschr-Descr.'!E33</f>
        <v>0</v>
      </c>
    </row>
    <row r="97" spans="1:5" x14ac:dyDescent="0.2">
      <c r="A97" s="84" t="str">
        <f>'[1]Beschr-Descr.'!A34</f>
        <v>Permessi goduti</v>
      </c>
      <c r="B97" s="84"/>
      <c r="C97" s="84">
        <f>'[1]Beschr-Descr.'!C34</f>
        <v>0</v>
      </c>
      <c r="D97" s="84">
        <f>'[1]Beschr-Descr.'!D34</f>
        <v>0</v>
      </c>
      <c r="E97" s="207">
        <f>'[1]Beschr-Descr.'!E34</f>
        <v>0</v>
      </c>
    </row>
    <row r="98" spans="1:5" x14ac:dyDescent="0.2">
      <c r="A98" s="84" t="str">
        <f>'[1]Beschr-Descr.'!A35</f>
        <v>Ferie non godute</v>
      </c>
      <c r="B98" s="84"/>
      <c r="C98" s="84">
        <f>'[1]Beschr-Descr.'!C35</f>
        <v>0</v>
      </c>
      <c r="D98" s="84">
        <f>'[1]Beschr-Descr.'!D35</f>
        <v>0</v>
      </c>
      <c r="E98" s="207">
        <f>'[1]Beschr-Descr.'!E35</f>
        <v>0</v>
      </c>
    </row>
    <row r="99" spans="1:5" x14ac:dyDescent="0.2">
      <c r="A99" s="84" t="str">
        <f>'[1]Beschr-Descr.'!A36</f>
        <v>Ferie non godute</v>
      </c>
      <c r="B99" s="84"/>
      <c r="C99" s="84">
        <f>'[1]Beschr-Descr.'!C36</f>
        <v>0</v>
      </c>
      <c r="D99" s="84">
        <f>'[1]Beschr-Descr.'!D36</f>
        <v>0</v>
      </c>
      <c r="E99" s="207">
        <f>'[1]Beschr-Descr.'!E36</f>
        <v>0</v>
      </c>
    </row>
    <row r="100" spans="1:5" x14ac:dyDescent="0.2">
      <c r="A100" s="84" t="str">
        <f>'[1]Beschr-Descr.'!A37</f>
        <v>Festività non godute</v>
      </c>
      <c r="B100" s="84"/>
      <c r="C100" s="84">
        <f>'[1]Beschr-Descr.'!C37</f>
        <v>0</v>
      </c>
      <c r="D100" s="84">
        <f>'[1]Beschr-Descr.'!D37</f>
        <v>0</v>
      </c>
      <c r="E100" s="207">
        <f>'[1]Beschr-Descr.'!E37</f>
        <v>0</v>
      </c>
    </row>
    <row r="101" spans="1:5" x14ac:dyDescent="0.2">
      <c r="A101" s="84" t="str">
        <f>'[1]Beschr-Descr.'!A38</f>
        <v>Indennità rischio cassa</v>
      </c>
      <c r="B101" s="84"/>
      <c r="C101" s="84">
        <f>'[1]Beschr-Descr.'!C38</f>
        <v>0</v>
      </c>
      <c r="D101" s="84">
        <f>'[1]Beschr-Descr.'!D38</f>
        <v>0</v>
      </c>
      <c r="E101" s="207">
        <f>'[1]Beschr-Descr.'!E38</f>
        <v>0</v>
      </c>
    </row>
    <row r="102" spans="1:5" x14ac:dyDescent="0.2">
      <c r="A102" s="84">
        <f>'[1]Beschr-Descr.'!A39</f>
        <v>0</v>
      </c>
      <c r="B102" s="84"/>
      <c r="C102" s="84">
        <f>'[1]Beschr-Descr.'!C39</f>
        <v>0</v>
      </c>
      <c r="D102" s="84">
        <f>'[1]Beschr-Descr.'!D39</f>
        <v>0</v>
      </c>
      <c r="E102" s="207">
        <f>'[1]Beschr-Descr.'!E39</f>
        <v>0</v>
      </c>
    </row>
    <row r="103" spans="1:5" x14ac:dyDescent="0.2">
      <c r="A103" s="84" t="str">
        <f>'[1]Beschr-Descr.'!A40</f>
        <v>Ore straordinarie 15%</v>
      </c>
      <c r="B103" s="84"/>
      <c r="C103" s="84">
        <f>'[1]Beschr-Descr.'!C40</f>
        <v>0</v>
      </c>
      <c r="D103" s="84">
        <f>'[1]Beschr-Descr.'!D40</f>
        <v>0</v>
      </c>
      <c r="E103" s="207">
        <f>'[1]Beschr-Descr.'!E40</f>
        <v>0.15</v>
      </c>
    </row>
    <row r="104" spans="1:5" x14ac:dyDescent="0.2">
      <c r="A104" s="84" t="str">
        <f>'[1]Beschr-Descr.'!A41</f>
        <v>Ore straordinarie 20%</v>
      </c>
      <c r="B104" s="84"/>
      <c r="C104" s="84">
        <f>'[1]Beschr-Descr.'!C41</f>
        <v>0</v>
      </c>
      <c r="D104" s="84">
        <f>'[1]Beschr-Descr.'!D41</f>
        <v>0</v>
      </c>
      <c r="E104" s="207">
        <f>'[1]Beschr-Descr.'!E41</f>
        <v>0.2</v>
      </c>
    </row>
    <row r="105" spans="1:5" x14ac:dyDescent="0.2">
      <c r="A105" s="84" t="str">
        <f>'[1]Beschr-Descr.'!A42</f>
        <v>Ore straordinarie 30%</v>
      </c>
      <c r="B105" s="84"/>
      <c r="C105" s="84">
        <f>'[1]Beschr-Descr.'!C42</f>
        <v>0</v>
      </c>
      <c r="D105" s="84">
        <f>'[1]Beschr-Descr.'!D42</f>
        <v>0</v>
      </c>
      <c r="E105" s="207">
        <f>'[1]Beschr-Descr.'!E42</f>
        <v>0.3</v>
      </c>
    </row>
    <row r="106" spans="1:5" x14ac:dyDescent="0.2">
      <c r="A106" s="84" t="str">
        <f>'[1]Beschr-Descr.'!A43</f>
        <v>Ore straordinarie 50%</v>
      </c>
      <c r="B106" s="84"/>
      <c r="C106" s="84">
        <f>'[1]Beschr-Descr.'!C43</f>
        <v>0</v>
      </c>
      <c r="D106" s="84">
        <f>'[1]Beschr-Descr.'!D43</f>
        <v>0</v>
      </c>
      <c r="E106" s="207">
        <f>'[1]Beschr-Descr.'!E43</f>
        <v>0.5</v>
      </c>
    </row>
    <row r="107" spans="1:5" x14ac:dyDescent="0.2">
      <c r="A107" s="84" t="str">
        <f>'[1]Beschr-Descr.'!A44</f>
        <v>Ore notturne 50%</v>
      </c>
      <c r="B107" s="84"/>
      <c r="C107" s="84">
        <f>'[1]Beschr-Descr.'!C44</f>
        <v>0</v>
      </c>
      <c r="D107" s="84">
        <f>'[1]Beschr-Descr.'!D44</f>
        <v>0</v>
      </c>
      <c r="E107" s="207">
        <f>'[1]Beschr-Descr.'!E44</f>
        <v>0.5</v>
      </c>
    </row>
    <row r="108" spans="1:5" x14ac:dyDescent="0.2">
      <c r="A108" s="84">
        <f>'[1]Beschr-Descr.'!A45</f>
        <v>0</v>
      </c>
      <c r="B108" s="84"/>
      <c r="C108" s="84">
        <f>'[1]Beschr-Descr.'!C45</f>
        <v>0</v>
      </c>
      <c r="D108" s="84">
        <f>'[1]Beschr-Descr.'!D45</f>
        <v>0</v>
      </c>
      <c r="E108" s="207">
        <f>'[1]Beschr-Descr.'!E45</f>
        <v>0</v>
      </c>
    </row>
    <row r="109" spans="1:5" x14ac:dyDescent="0.2">
      <c r="A109" s="84" t="str">
        <f>'[1]Beschr-Descr.'!A46</f>
        <v>Indennità di malattia totale</v>
      </c>
      <c r="B109" s="84"/>
      <c r="C109" s="84">
        <f>'[1]Beschr-Descr.'!C46</f>
        <v>0</v>
      </c>
      <c r="D109" s="84">
        <f>'[1]Beschr-Descr.'!D46</f>
        <v>0</v>
      </c>
      <c r="E109" s="207">
        <f>'[1]Beschr-Descr.'!E46</f>
        <v>0</v>
      </c>
    </row>
    <row r="110" spans="1:5" x14ac:dyDescent="0.2">
      <c r="A110" s="84" t="str">
        <f>'[1]Beschr-Descr.'!A47</f>
        <v>Indennità di malattia quota INPS 50%</v>
      </c>
      <c r="B110" s="84"/>
      <c r="C110" s="84">
        <f>'[1]Beschr-Descr.'!C47</f>
        <v>0</v>
      </c>
      <c r="D110" s="84">
        <f>'[1]Beschr-Descr.'!D47</f>
        <v>0</v>
      </c>
      <c r="E110" s="207">
        <f>'[1]Beschr-Descr.'!E47</f>
        <v>-0.5</v>
      </c>
    </row>
    <row r="111" spans="1:5" x14ac:dyDescent="0.2">
      <c r="A111" s="84" t="str">
        <f>'[1]Beschr-Descr.'!A48</f>
        <v>Indennità di malattia quota INPS 66,67%</v>
      </c>
      <c r="B111" s="84"/>
      <c r="C111" s="84">
        <f>'[1]Beschr-Descr.'!C48</f>
        <v>0</v>
      </c>
      <c r="D111" s="84">
        <f>'[1]Beschr-Descr.'!D48</f>
        <v>0</v>
      </c>
      <c r="E111" s="207">
        <f>'[1]Beschr-Descr.'!E48</f>
        <v>-0.66669999999999996</v>
      </c>
    </row>
    <row r="112" spans="1:5" x14ac:dyDescent="0.2">
      <c r="A112" s="84" t="str">
        <f>'[1]Beschr-Descr.'!A49</f>
        <v>Indennità di maternità importo totale</v>
      </c>
      <c r="B112" s="84"/>
      <c r="C112" s="84">
        <f>'[1]Beschr-Descr.'!C49</f>
        <v>0</v>
      </c>
      <c r="D112" s="84">
        <f>'[1]Beschr-Descr.'!D49</f>
        <v>0</v>
      </c>
      <c r="E112" s="207">
        <f>'[1]Beschr-Descr.'!E49</f>
        <v>0</v>
      </c>
    </row>
    <row r="113" spans="1:5" x14ac:dyDescent="0.2">
      <c r="A113" s="84" t="str">
        <f>'[1]Beschr-Descr.'!A50</f>
        <v>Indennità di maternità quota INPS 80,00%</v>
      </c>
      <c r="B113" s="84"/>
      <c r="C113" s="84">
        <f>'[1]Beschr-Descr.'!C50</f>
        <v>0</v>
      </c>
      <c r="D113" s="84">
        <f>'[1]Beschr-Descr.'!D50</f>
        <v>0</v>
      </c>
      <c r="E113" s="207">
        <f>'[1]Beschr-Descr.'!E50</f>
        <v>-0.8</v>
      </c>
    </row>
    <row r="114" spans="1:5" x14ac:dyDescent="0.2">
      <c r="A114" s="84" t="str">
        <f>'[1]Beschr-Descr.'!A51</f>
        <v>Lordizzazione indennità malattia quota INPS</v>
      </c>
      <c r="B114" s="84"/>
      <c r="C114" s="84">
        <f>'[1]Beschr-Descr.'!C51</f>
        <v>0</v>
      </c>
      <c r="D114" s="84">
        <f>'[1]Beschr-Descr.'!D51</f>
        <v>0</v>
      </c>
      <c r="E114" s="207">
        <f>'[1]Beschr-Descr.'!E51</f>
        <v>0.1012</v>
      </c>
    </row>
    <row r="115" spans="1:5" x14ac:dyDescent="0.2">
      <c r="A115" s="84">
        <f>'[1]Beschr-Descr.'!A52</f>
        <v>0</v>
      </c>
      <c r="B115" s="84"/>
      <c r="C115" s="84">
        <f>'[1]Beschr-Descr.'!C52</f>
        <v>0</v>
      </c>
      <c r="D115" s="84">
        <f>'[1]Beschr-Descr.'!D52</f>
        <v>0</v>
      </c>
      <c r="E115" s="207">
        <f>'[1]Beschr-Descr.'!E52</f>
        <v>0</v>
      </c>
    </row>
    <row r="116" spans="1:5" x14ac:dyDescent="0.2">
      <c r="A116" s="84" t="str">
        <f>'[1]Beschr-Descr.'!A53</f>
        <v>13a mensilità</v>
      </c>
      <c r="B116" s="84"/>
      <c r="C116" s="84">
        <f>'[1]Beschr-Descr.'!C53</f>
        <v>0</v>
      </c>
      <c r="D116" s="84">
        <f>'[1]Beschr-Descr.'!D53</f>
        <v>0</v>
      </c>
      <c r="E116" s="207">
        <f>'[1]Beschr-Descr.'!E53</f>
        <v>0</v>
      </c>
    </row>
    <row r="117" spans="1:5" x14ac:dyDescent="0.2">
      <c r="A117" s="84" t="str">
        <f>'[1]Beschr-Descr.'!A54</f>
        <v>14a mensilità</v>
      </c>
      <c r="B117" s="84"/>
      <c r="C117" s="84">
        <f>'[1]Beschr-Descr.'!C54</f>
        <v>0</v>
      </c>
      <c r="D117" s="84">
        <f>'[1]Beschr-Descr.'!D54</f>
        <v>0</v>
      </c>
      <c r="E117" s="207">
        <f>'[1]Beschr-Descr.'!E54</f>
        <v>0</v>
      </c>
    </row>
    <row r="118" spans="1:5" x14ac:dyDescent="0.2">
      <c r="A118" s="84" t="str">
        <f>'[1]Beschr-Descr.'!A55</f>
        <v>Mancato rispetto periodo preavviso licenziamento</v>
      </c>
      <c r="B118" s="84"/>
      <c r="C118" s="84">
        <f>'[1]Beschr-Descr.'!C55</f>
        <v>0</v>
      </c>
      <c r="D118" s="84">
        <f>'[1]Beschr-Descr.'!D55</f>
        <v>0</v>
      </c>
      <c r="E118" s="207">
        <f>'[1]Beschr-Descr.'!E55</f>
        <v>0</v>
      </c>
    </row>
    <row r="119" spans="1:5" x14ac:dyDescent="0.2">
      <c r="A119" s="84" t="str">
        <f>'[1]Beschr-Descr.'!A56</f>
        <v>Una Tantum</v>
      </c>
      <c r="B119" s="84"/>
      <c r="C119" s="84">
        <f>'[1]Beschr-Descr.'!C56</f>
        <v>0</v>
      </c>
      <c r="D119" s="84">
        <f>'[1]Beschr-Descr.'!D56</f>
        <v>0</v>
      </c>
      <c r="E119" s="207">
        <f>'[1]Beschr-Descr.'!E56</f>
        <v>0</v>
      </c>
    </row>
    <row r="120" spans="1:5" x14ac:dyDescent="0.2">
      <c r="A120" s="84" t="str">
        <f>'[1]Beschr-Descr.'!A57</f>
        <v>Premio</v>
      </c>
      <c r="B120" s="84"/>
      <c r="C120" s="84">
        <f>'[1]Beschr-Descr.'!C57</f>
        <v>0</v>
      </c>
      <c r="D120" s="84">
        <f>'[1]Beschr-Descr.'!D57</f>
        <v>0</v>
      </c>
      <c r="E120" s="207">
        <f>'[1]Beschr-Descr.'!E57</f>
        <v>0</v>
      </c>
    </row>
    <row r="121" spans="1:5" x14ac:dyDescent="0.2">
      <c r="A121" s="84">
        <f>'[1]Beschr-Descr.'!A58</f>
        <v>0</v>
      </c>
      <c r="B121" s="84"/>
      <c r="C121" s="84">
        <f>'[1]Beschr-Descr.'!C58</f>
        <v>0</v>
      </c>
      <c r="D121" s="84">
        <f>'[1]Beschr-Descr.'!D58</f>
        <v>0</v>
      </c>
      <c r="E121" s="207">
        <f>'[1]Beschr-Descr.'!E58</f>
        <v>0</v>
      </c>
    </row>
    <row r="122" spans="1:5" x14ac:dyDescent="0.2">
      <c r="A122">
        <f>'[1]Beschr-Descr.'!A63</f>
        <v>0</v>
      </c>
    </row>
    <row r="123" spans="1:5" x14ac:dyDescent="0.2">
      <c r="A123">
        <f>'[1]Beschr-Descr.'!A64</f>
        <v>0</v>
      </c>
    </row>
    <row r="124" spans="1:5" x14ac:dyDescent="0.2">
      <c r="A124">
        <f>'[1]Beschr-Descr.'!A65</f>
        <v>0</v>
      </c>
    </row>
    <row r="125" spans="1:5" x14ac:dyDescent="0.2">
      <c r="A125">
        <f>'[1]Beschr-Descr.'!A66</f>
        <v>0</v>
      </c>
    </row>
    <row r="126" spans="1:5" x14ac:dyDescent="0.2">
      <c r="A126">
        <f>'[1]Beschr-Descr.'!A67</f>
        <v>0</v>
      </c>
    </row>
    <row r="127" spans="1:5" x14ac:dyDescent="0.2">
      <c r="A127">
        <f>'[1]Beschr-Descr.'!A68</f>
        <v>0</v>
      </c>
    </row>
    <row r="128" spans="1:5" x14ac:dyDescent="0.2">
      <c r="A128">
        <f>'[1]Beschr-Descr.'!A69</f>
        <v>0</v>
      </c>
    </row>
    <row r="129" spans="1:1" x14ac:dyDescent="0.2">
      <c r="A129">
        <f>'[1]Beschr-Descr.'!A70</f>
        <v>0</v>
      </c>
    </row>
    <row r="130" spans="1:1" x14ac:dyDescent="0.2">
      <c r="A130">
        <f>'[1]Beschr-Descr.'!A71</f>
        <v>0</v>
      </c>
    </row>
    <row r="131" spans="1:1" x14ac:dyDescent="0.2">
      <c r="A131">
        <f>'[1]Beschr-Descr.'!A72</f>
        <v>0</v>
      </c>
    </row>
    <row r="132" spans="1:1" x14ac:dyDescent="0.2">
      <c r="A132">
        <f>'[1]Beschr-Descr.'!A73</f>
        <v>0</v>
      </c>
    </row>
    <row r="133" spans="1:1" x14ac:dyDescent="0.2">
      <c r="A133">
        <f>'[1]Beschr-Descr.'!A74</f>
        <v>0</v>
      </c>
    </row>
    <row r="134" spans="1:1" x14ac:dyDescent="0.2">
      <c r="A134">
        <f>'[1]Beschr-Descr.'!A75</f>
        <v>0</v>
      </c>
    </row>
    <row r="135" spans="1:1" x14ac:dyDescent="0.2">
      <c r="A135">
        <f>'[1]Beschr-Descr.'!A76</f>
        <v>0</v>
      </c>
    </row>
    <row r="136" spans="1:1" x14ac:dyDescent="0.2">
      <c r="A136">
        <f>'[1]Beschr-Descr.'!A77</f>
        <v>0</v>
      </c>
    </row>
    <row r="137" spans="1:1" x14ac:dyDescent="0.2">
      <c r="A137">
        <f>'[1]Beschr-Descr.'!A78</f>
        <v>0</v>
      </c>
    </row>
    <row r="138" spans="1:1" x14ac:dyDescent="0.2">
      <c r="A138">
        <f>'[1]Beschr-Descr.'!A79</f>
        <v>0</v>
      </c>
    </row>
    <row r="139" spans="1:1" x14ac:dyDescent="0.2">
      <c r="A139">
        <f>'[1]Beschr-Descr.'!A80</f>
        <v>0</v>
      </c>
    </row>
    <row r="140" spans="1:1" x14ac:dyDescent="0.2">
      <c r="A140">
        <f>'[1]Beschr-Descr.'!A81</f>
        <v>0</v>
      </c>
    </row>
    <row r="141" spans="1:1" x14ac:dyDescent="0.2">
      <c r="A141">
        <f>'[1]Beschr-Descr.'!A82</f>
        <v>0</v>
      </c>
    </row>
    <row r="142" spans="1:1" x14ac:dyDescent="0.2">
      <c r="A142">
        <f>'[1]Beschr-Descr.'!A83</f>
        <v>0</v>
      </c>
    </row>
    <row r="143" spans="1:1" x14ac:dyDescent="0.2">
      <c r="A143">
        <f>'[1]Beschr-Descr.'!A84</f>
        <v>0</v>
      </c>
    </row>
    <row r="144" spans="1:1" x14ac:dyDescent="0.2">
      <c r="A144">
        <f>'[1]Beschr-Descr.'!A85</f>
        <v>0</v>
      </c>
    </row>
    <row r="145" spans="1:1" x14ac:dyDescent="0.2">
      <c r="A145">
        <f>'[1]Beschr-Descr.'!A86</f>
        <v>0</v>
      </c>
    </row>
    <row r="146" spans="1:1" x14ac:dyDescent="0.2">
      <c r="A146">
        <f>'[1]Beschr-Descr.'!A87</f>
        <v>0</v>
      </c>
    </row>
    <row r="147" spans="1:1" x14ac:dyDescent="0.2">
      <c r="A147">
        <f>'[1]Beschr-Descr.'!A88</f>
        <v>0</v>
      </c>
    </row>
    <row r="148" spans="1:1" x14ac:dyDescent="0.2">
      <c r="A148">
        <f>'[1]Beschr-Descr.'!A89</f>
        <v>0</v>
      </c>
    </row>
    <row r="149" spans="1:1" x14ac:dyDescent="0.2">
      <c r="A149">
        <f>'[1]Beschr-Descr.'!A90</f>
        <v>0</v>
      </c>
    </row>
    <row r="150" spans="1:1" x14ac:dyDescent="0.2">
      <c r="A150">
        <f>'[1]Beschr-Descr.'!A91</f>
        <v>0</v>
      </c>
    </row>
    <row r="151" spans="1:1" x14ac:dyDescent="0.2">
      <c r="A151">
        <f>'[1]Beschr-Descr.'!A92</f>
        <v>0</v>
      </c>
    </row>
    <row r="152" spans="1:1" x14ac:dyDescent="0.2">
      <c r="A152">
        <f>'[1]Beschr-Descr.'!A93</f>
        <v>0</v>
      </c>
    </row>
    <row r="153" spans="1:1" x14ac:dyDescent="0.2">
      <c r="A153">
        <f>'[1]Beschr-Descr.'!A94</f>
        <v>0</v>
      </c>
    </row>
    <row r="154" spans="1:1" x14ac:dyDescent="0.2">
      <c r="A154">
        <f>'[1]Beschr-Descr.'!A95</f>
        <v>0</v>
      </c>
    </row>
    <row r="155" spans="1:1" x14ac:dyDescent="0.2">
      <c r="A155">
        <f>'[1]Beschr-Descr.'!A96</f>
        <v>0</v>
      </c>
    </row>
    <row r="156" spans="1:1" x14ac:dyDescent="0.2">
      <c r="A156">
        <f>'[1]Beschr-Descr.'!A97</f>
        <v>0</v>
      </c>
    </row>
    <row r="157" spans="1:1" x14ac:dyDescent="0.2">
      <c r="A157">
        <f>'[1]Beschr-Descr.'!A98</f>
        <v>0</v>
      </c>
    </row>
    <row r="158" spans="1:1" x14ac:dyDescent="0.2">
      <c r="A158">
        <f>'[1]Beschr-Descr.'!A99</f>
        <v>0</v>
      </c>
    </row>
    <row r="159" spans="1:1" x14ac:dyDescent="0.2">
      <c r="A159">
        <f>'[1]Beschr-Descr.'!A100</f>
        <v>0</v>
      </c>
    </row>
    <row r="160" spans="1:1" x14ac:dyDescent="0.2">
      <c r="A160">
        <f>'[1]Beschr-Descr.'!A101</f>
        <v>0</v>
      </c>
    </row>
    <row r="161" spans="1:1" x14ac:dyDescent="0.2">
      <c r="A161">
        <f>'[1]Beschr-Descr.'!A102</f>
        <v>0</v>
      </c>
    </row>
  </sheetData>
  <mergeCells count="70">
    <mergeCell ref="N60:O60"/>
    <mergeCell ref="J54:O54"/>
    <mergeCell ref="J57:O57"/>
    <mergeCell ref="N55:O55"/>
    <mergeCell ref="N56:O56"/>
    <mergeCell ref="N58:O58"/>
    <mergeCell ref="N59:O59"/>
    <mergeCell ref="U53:U54"/>
    <mergeCell ref="S53:S54"/>
    <mergeCell ref="T53:T54"/>
    <mergeCell ref="E16:F16"/>
    <mergeCell ref="E52:F52"/>
    <mergeCell ref="E48:F48"/>
    <mergeCell ref="E50:F50"/>
    <mergeCell ref="Q53:R53"/>
    <mergeCell ref="S41:S43"/>
    <mergeCell ref="E18:F18"/>
    <mergeCell ref="U41:U43"/>
    <mergeCell ref="Q41:R42"/>
    <mergeCell ref="T41:T43"/>
    <mergeCell ref="E44:F44"/>
    <mergeCell ref="J52:O52"/>
    <mergeCell ref="L10:L18"/>
    <mergeCell ref="A19:C19"/>
    <mergeCell ref="A20:C20"/>
    <mergeCell ref="A24:C24"/>
    <mergeCell ref="A25:C25"/>
    <mergeCell ref="A22:C22"/>
    <mergeCell ref="A21:C21"/>
    <mergeCell ref="A23:C23"/>
    <mergeCell ref="A28:C28"/>
    <mergeCell ref="A26:C26"/>
    <mergeCell ref="E43:F43"/>
    <mergeCell ref="A27:C27"/>
    <mergeCell ref="E59:F59"/>
    <mergeCell ref="E54:F54"/>
    <mergeCell ref="E58:F58"/>
    <mergeCell ref="E56:F56"/>
    <mergeCell ref="E57:F57"/>
    <mergeCell ref="E55:F55"/>
    <mergeCell ref="Q5:S6"/>
    <mergeCell ref="Q7:S8"/>
    <mergeCell ref="K50:K51"/>
    <mergeCell ref="M50:M51"/>
    <mergeCell ref="Q10:S11"/>
    <mergeCell ref="N50:N51"/>
    <mergeCell ref="O50:O51"/>
    <mergeCell ref="L50:L51"/>
    <mergeCell ref="J1:O1"/>
    <mergeCell ref="J8:O9"/>
    <mergeCell ref="J10:J18"/>
    <mergeCell ref="K10:K18"/>
    <mergeCell ref="M10:M18"/>
    <mergeCell ref="N10:N18"/>
    <mergeCell ref="O10:O18"/>
    <mergeCell ref="E3:F3"/>
    <mergeCell ref="E7:F7"/>
    <mergeCell ref="E5:F5"/>
    <mergeCell ref="E8:F8"/>
    <mergeCell ref="E51:F51"/>
    <mergeCell ref="E9:F9"/>
    <mergeCell ref="E12:F12"/>
    <mergeCell ref="E11:F11"/>
    <mergeCell ref="E49:F49"/>
    <mergeCell ref="E45:F45"/>
    <mergeCell ref="E46:F46"/>
    <mergeCell ref="E13:F13"/>
    <mergeCell ref="E14:F14"/>
    <mergeCell ref="E47:F47"/>
    <mergeCell ref="E15:F15"/>
  </mergeCells>
  <phoneticPr fontId="2" type="noConversion"/>
  <dataValidations count="2">
    <dataValidation type="list" allowBlank="1" showInputMessage="1" showErrorMessage="1" sqref="E19:E28" xr:uid="{00000000-0002-0000-0800-000000000000}">
      <formula1>$F$67:$F$70</formula1>
    </dataValidation>
    <dataValidation type="list" allowBlank="1" showInputMessage="1" showErrorMessage="1" sqref="A19:C28" xr:uid="{00000000-0002-0000-0800-000001000000}">
      <formula1>$A$67:$A$149</formula1>
    </dataValidation>
  </dataValidations>
  <printOptions horizontalCentered="1" verticalCentered="1"/>
  <pageMargins left="0.19685039370078741" right="0.19685039370078741" top="0.39370078740157483" bottom="0.39370078740157483" header="0" footer="0.19685039370078741"/>
  <pageSetup paperSize="9" orientation="portrait" r:id="rId1"/>
  <headerFooter alignWithMargins="0">
    <oddFooter>&amp;C&amp;"Calibri,Standard"Lohnberechnung FRINO PRO 2017 von Dr. Friedrich Nöckler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44" r:id="rId4" name="Drop Down 4">
              <controlPr defaultSize="0" print="0" autoLine="0" autoPict="0">
                <anchor moveWithCells="1">
                  <from>
                    <xdr:col>5</xdr:col>
                    <xdr:colOff>361950</xdr:colOff>
                    <xdr:row>2</xdr:row>
                    <xdr:rowOff>9525</xdr:rowOff>
                  </from>
                  <to>
                    <xdr:col>8</xdr:col>
                    <xdr:colOff>514350</xdr:colOff>
                    <xdr:row>3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17</vt:i4>
      </vt:variant>
      <vt:variant>
        <vt:lpstr>Benannte Bereiche</vt:lpstr>
      </vt:variant>
      <vt:variant>
        <vt:i4>14</vt:i4>
      </vt:variant>
    </vt:vector>
  </HeadingPairs>
  <TitlesOfParts>
    <vt:vector size="31" baseType="lpstr">
      <vt:lpstr>01</vt:lpstr>
      <vt:lpstr>02</vt:lpstr>
      <vt:lpstr>03</vt:lpstr>
      <vt:lpstr>04</vt:lpstr>
      <vt:lpstr>05</vt:lpstr>
      <vt:lpstr>06</vt:lpstr>
      <vt:lpstr>14</vt:lpstr>
      <vt:lpstr>07</vt:lpstr>
      <vt:lpstr>08</vt:lpstr>
      <vt:lpstr>09</vt:lpstr>
      <vt:lpstr>10</vt:lpstr>
      <vt:lpstr>11</vt:lpstr>
      <vt:lpstr>13</vt:lpstr>
      <vt:lpstr>12</vt:lpstr>
      <vt:lpstr>conguaglio</vt:lpstr>
      <vt:lpstr>Steuern</vt:lpstr>
      <vt:lpstr>Mit-1</vt:lpstr>
      <vt:lpstr>'01'!Druckbereich</vt:lpstr>
      <vt:lpstr>'02'!Druckbereich</vt:lpstr>
      <vt:lpstr>'03'!Druckbereich</vt:lpstr>
      <vt:lpstr>'04'!Druckbereich</vt:lpstr>
      <vt:lpstr>'05'!Druckbereich</vt:lpstr>
      <vt:lpstr>'06'!Druckbereich</vt:lpstr>
      <vt:lpstr>'07'!Druckbereich</vt:lpstr>
      <vt:lpstr>'08'!Druckbereich</vt:lpstr>
      <vt:lpstr>'09'!Druckbereich</vt:lpstr>
      <vt:lpstr>'10'!Druckbereich</vt:lpstr>
      <vt:lpstr>'11'!Druckbereich</vt:lpstr>
      <vt:lpstr>'12'!Druckbereich</vt:lpstr>
      <vt:lpstr>'13'!Druckbereich</vt:lpstr>
      <vt:lpstr>'14'!Druckbereich</vt:lpstr>
    </vt:vector>
  </TitlesOfParts>
  <Company>Autonome Provinz Bozen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Nöckler Dr. Friedrich</dc:creator>
  <cp:lastModifiedBy>Wolfgang Lanz</cp:lastModifiedBy>
  <cp:lastPrinted>2017-09-29T10:55:49Z</cp:lastPrinted>
  <dcterms:created xsi:type="dcterms:W3CDTF">2003-02-04T09:51:06Z</dcterms:created>
  <dcterms:modified xsi:type="dcterms:W3CDTF">2024-11-12T12:09:25Z</dcterms:modified>
</cp:coreProperties>
</file>